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codeName="ThisWorkbook" autoCompressPictures="0"/>
  <mc:AlternateContent xmlns:mc="http://schemas.openxmlformats.org/markup-compatibility/2006">
    <mc:Choice Requires="x15">
      <x15ac:absPath xmlns:x15ac="http://schemas.microsoft.com/office/spreadsheetml/2010/11/ac" url="https://ramxeed-my.sharepoint.com/personal/t_hirayama_ramxeed_com/Documents/ドキュメント/Document_Biz/Web/Web_法的文書/"/>
    </mc:Choice>
  </mc:AlternateContent>
  <xr:revisionPtr revIDLastSave="2" documentId="13_ncr:1_{6FCA21A5-2ED9-40BC-BF8B-04CBCBD18DC2}" xr6:coauthVersionLast="47" xr6:coauthVersionMax="47" xr10:uidLastSave="{B789DA49-103A-45EB-8E5F-AE90DA4BCA9E}"/>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70" i="2"/>
  <c r="A71" i="2"/>
  <c r="A72" i="2"/>
  <c r="A73" i="2"/>
  <c r="A78" i="2"/>
  <c r="A65" i="2"/>
  <c r="B26" i="3"/>
  <c r="C26" i="3"/>
  <c r="C7" i="3"/>
  <c r="B9" i="3"/>
  <c r="C9" i="3"/>
  <c r="B10" i="3"/>
  <c r="B11" i="3"/>
  <c r="C12" i="3"/>
  <c r="B13" i="3"/>
  <c r="C13" i="3"/>
  <c r="B14" i="3"/>
  <c r="B15" i="3"/>
  <c r="C16" i="3"/>
  <c r="B17" i="3"/>
  <c r="C17" i="3"/>
  <c r="B18" i="3"/>
  <c r="B19" i="3"/>
  <c r="C19" i="3"/>
  <c r="B20" i="3"/>
  <c r="C20" i="3"/>
  <c r="B21" i="3"/>
  <c r="C21" i="3"/>
  <c r="B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B107" i="6"/>
  <c r="B106" i="6"/>
  <c r="B105" i="6"/>
  <c r="B104" i="6"/>
  <c r="B103" i="6"/>
  <c r="B102" i="6"/>
  <c r="B101" i="6"/>
  <c r="B100" i="6"/>
  <c r="B99" i="6"/>
  <c r="G99" i="6" s="1"/>
  <c r="B98" i="6"/>
  <c r="B96" i="6"/>
  <c r="B95" i="6"/>
  <c r="B94" i="6"/>
  <c r="G94" i="6" s="1"/>
  <c r="B92" i="6"/>
  <c r="B91" i="6"/>
  <c r="B90" i="6"/>
  <c r="B89" i="6"/>
  <c r="B88" i="6"/>
  <c r="G88" i="6" s="1"/>
  <c r="B87" i="6"/>
  <c r="B86" i="6"/>
  <c r="B85" i="6"/>
  <c r="B84" i="6"/>
  <c r="G84" i="6" s="1"/>
  <c r="B83" i="6"/>
  <c r="B81" i="6"/>
  <c r="B80" i="6"/>
  <c r="B79" i="6"/>
  <c r="B78" i="6"/>
  <c r="B77" i="6"/>
  <c r="G77" i="6" s="1"/>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B19" i="6"/>
  <c r="G19" i="6" s="1"/>
  <c r="B18" i="6"/>
  <c r="B17" i="6"/>
  <c r="B15" i="6"/>
  <c r="B13" i="6"/>
  <c r="G13" i="6" s="1"/>
  <c r="H13" i="6" s="1"/>
  <c r="D13" i="6" s="1"/>
  <c r="B12" i="6"/>
  <c r="B11" i="6"/>
  <c r="B10" i="6"/>
  <c r="G10" i="6" s="1"/>
  <c r="H10" i="6" s="1"/>
  <c r="D10" i="6" s="1"/>
  <c r="B9" i="6"/>
  <c r="B6" i="6"/>
  <c r="B4" i="6"/>
  <c r="O30" i="4"/>
  <c r="P54" i="4"/>
  <c r="B137" i="4"/>
  <c r="A111" i="6" s="1"/>
  <c r="B135" i="4"/>
  <c r="A110" i="6" s="1"/>
  <c r="B133" i="4"/>
  <c r="A109" i="6" s="1"/>
  <c r="B131" i="4"/>
  <c r="A108" i="6" s="1"/>
  <c r="B120" i="4"/>
  <c r="A98" i="6" s="1"/>
  <c r="B119" i="4"/>
  <c r="A97" i="6" s="1"/>
  <c r="B117" i="4"/>
  <c r="A95" i="6" s="1"/>
  <c r="B115" i="4"/>
  <c r="A94" i="6" s="1"/>
  <c r="B114" i="4"/>
  <c r="A93" i="6" s="1"/>
  <c r="B102" i="4"/>
  <c r="A83" i="6" s="1"/>
  <c r="P53" i="4"/>
  <c r="B90" i="4"/>
  <c r="A72" i="6" s="1"/>
  <c r="B78" i="4"/>
  <c r="A61" i="6" s="1"/>
  <c r="B66" i="4"/>
  <c r="A50" i="6" s="1"/>
  <c r="B54" i="4"/>
  <c r="A39" i="6"/>
  <c r="P42" i="4"/>
  <c r="B42" i="4" s="1"/>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c r="Z50" i="4" s="1"/>
  <c r="AA50" i="4" s="1"/>
  <c r="AB50" i="4" s="1"/>
  <c r="Z51" i="4"/>
  <c r="AA51" i="4"/>
  <c r="AB51" i="4" s="1"/>
  <c r="AC51" i="4" s="1"/>
  <c r="S50" i="4"/>
  <c r="T50" i="4"/>
  <c r="U50" i="4"/>
  <c r="V50" i="4"/>
  <c r="W50" i="4"/>
  <c r="X50" i="4"/>
  <c r="Y49" i="4" s="1"/>
  <c r="Z49" i="4" s="1"/>
  <c r="AA49" i="4" s="1"/>
  <c r="Y50" i="4"/>
  <c r="S49" i="4"/>
  <c r="T49" i="4"/>
  <c r="U49" i="4"/>
  <c r="V49" i="4"/>
  <c r="W49" i="4"/>
  <c r="X49" i="4"/>
  <c r="S48" i="4"/>
  <c r="T48" i="4"/>
  <c r="U48" i="4"/>
  <c r="V48" i="4"/>
  <c r="W48" i="4"/>
  <c r="X48" i="4"/>
  <c r="Y48" i="4" s="1"/>
  <c r="S47" i="4"/>
  <c r="T47" i="4" s="1"/>
  <c r="U47" i="4" s="1"/>
  <c r="S46" i="4"/>
  <c r="T46" i="4"/>
  <c r="U46" i="4" s="1"/>
  <c r="S45" i="4"/>
  <c r="S44" i="4"/>
  <c r="T45" i="4"/>
  <c r="U45" i="4"/>
  <c r="V45" i="4" s="1"/>
  <c r="T44" i="4"/>
  <c r="S43" i="4"/>
  <c r="S42" i="4"/>
  <c r="T43" i="4"/>
  <c r="U43" i="4" s="1"/>
  <c r="U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10" i="5" s="1"/>
  <c r="J75" i="6"/>
  <c r="J73" i="6"/>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28" i="6"/>
  <c r="F17" i="6"/>
  <c r="C123" i="6"/>
  <c r="C122" i="6"/>
  <c r="C121" i="6"/>
  <c r="C120" i="6"/>
  <c r="G103" i="6"/>
  <c r="G102" i="6"/>
  <c r="G101" i="6"/>
  <c r="G100" i="6"/>
  <c r="G87" i="6"/>
  <c r="G86" i="6"/>
  <c r="G85" i="6"/>
  <c r="G83" i="6"/>
  <c r="G76" i="6"/>
  <c r="G75" i="6"/>
  <c r="G74" i="6"/>
  <c r="G73" i="6"/>
  <c r="G72" i="6"/>
  <c r="J74" i="6"/>
  <c r="G66" i="6"/>
  <c r="G65" i="6"/>
  <c r="G64" i="6"/>
  <c r="G63" i="6"/>
  <c r="G62" i="6"/>
  <c r="G61" i="6"/>
  <c r="G55" i="6"/>
  <c r="G54" i="6"/>
  <c r="G53" i="6"/>
  <c r="G52" i="6"/>
  <c r="G51" i="6"/>
  <c r="G50" i="6"/>
  <c r="G44" i="6"/>
  <c r="G43" i="6"/>
  <c r="G42" i="6"/>
  <c r="G41" i="6"/>
  <c r="G40" i="6"/>
  <c r="G33" i="6"/>
  <c r="G32" i="6"/>
  <c r="G31" i="6"/>
  <c r="G30" i="6"/>
  <c r="G29" i="6"/>
  <c r="G28" i="6"/>
  <c r="G17" i="6"/>
  <c r="H17" i="6" s="1"/>
  <c r="H7" i="6"/>
  <c r="D7"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H22" i="6" s="1"/>
  <c r="G21" i="6"/>
  <c r="G20"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C41" i="6" s="1"/>
  <c r="I40" i="6"/>
  <c r="J40" i="6"/>
  <c r="C26" i="6"/>
  <c r="C25" i="6"/>
  <c r="C24" i="6"/>
  <c r="C23" i="6"/>
  <c r="I22" i="6"/>
  <c r="J22" i="6"/>
  <c r="I21" i="6"/>
  <c r="C21" i="6" s="1"/>
  <c r="J21" i="6"/>
  <c r="J7" i="6"/>
  <c r="J19" i="6"/>
  <c r="I83" i="6"/>
  <c r="I72" i="6"/>
  <c r="I7" i="6"/>
  <c r="C7" i="6" s="1"/>
  <c r="G4" i="6"/>
  <c r="H4" i="6" s="1"/>
  <c r="D4" i="6" s="1"/>
  <c r="B21" i="13"/>
  <c r="C4" i="8"/>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5" i="6"/>
  <c r="G96" i="6"/>
  <c r="G98" i="6"/>
  <c r="G108" i="6"/>
  <c r="G109" i="6"/>
  <c r="G110" i="6"/>
  <c r="G111" i="6"/>
  <c r="G5" i="6"/>
  <c r="H5" i="6"/>
  <c r="D5" i="6" s="1"/>
  <c r="F6" i="6"/>
  <c r="G6" i="6"/>
  <c r="H6" i="6"/>
  <c r="G11" i="6"/>
  <c r="H11" i="6" s="1"/>
  <c r="D11" i="6" s="1"/>
  <c r="G12" i="6"/>
  <c r="H12" i="6" s="1"/>
  <c r="D12" i="6" s="1"/>
  <c r="H14" i="6"/>
  <c r="G15" i="6"/>
  <c r="H15" i="6" s="1"/>
  <c r="D15" i="6" s="1"/>
  <c r="H16" i="6"/>
  <c r="I4" i="6"/>
  <c r="I5" i="6"/>
  <c r="J5" i="6"/>
  <c r="I6" i="6"/>
  <c r="C6" i="6" s="1"/>
  <c r="J6" i="6"/>
  <c r="I9" i="6"/>
  <c r="J9" i="6"/>
  <c r="I10" i="6"/>
  <c r="J10" i="6"/>
  <c r="I11" i="6"/>
  <c r="J11" i="6"/>
  <c r="I12" i="6"/>
  <c r="J12" i="6"/>
  <c r="I13" i="6"/>
  <c r="I15" i="6"/>
  <c r="J15" i="6"/>
  <c r="I17" i="6"/>
  <c r="J17" i="6"/>
  <c r="I18" i="6"/>
  <c r="C18" i="6" s="1"/>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B32" i="4"/>
  <c r="A19" i="6"/>
  <c r="F41" i="6"/>
  <c r="H41" i="6" s="1"/>
  <c r="AA15" i="4"/>
  <c r="B33" i="4"/>
  <c r="A20" i="6"/>
  <c r="F42" i="6"/>
  <c r="F18" i="6"/>
  <c r="H18" i="6"/>
  <c r="D18" i="6" s="1"/>
  <c r="F19" i="6"/>
  <c r="H19" i="6"/>
  <c r="F20" i="6"/>
  <c r="H20" i="6"/>
  <c r="O33" i="4"/>
  <c r="P57" i="4"/>
  <c r="B123" i="4" s="1"/>
  <c r="A101" i="6" s="1"/>
  <c r="O32" i="4"/>
  <c r="P56" i="4"/>
  <c r="B68" i="4" s="1"/>
  <c r="A52" i="6" s="1"/>
  <c r="B104" i="4"/>
  <c r="A85" i="6"/>
  <c r="B92" i="4"/>
  <c r="A74" i="6" s="1"/>
  <c r="B80" i="4"/>
  <c r="A63" i="6"/>
  <c r="P45" i="4"/>
  <c r="B45" i="4"/>
  <c r="A31" i="6" s="1"/>
  <c r="P44" i="4"/>
  <c r="B44" i="4"/>
  <c r="A30" i="6" s="1"/>
  <c r="D20" i="6"/>
  <c r="D19" i="6"/>
  <c r="F116" i="6"/>
  <c r="A116" i="6"/>
  <c r="A117" i="6"/>
  <c r="F52" i="6"/>
  <c r="H52" i="6" s="1"/>
  <c r="F63" i="6"/>
  <c r="F74" i="6" s="1"/>
  <c r="H63" i="6"/>
  <c r="D63" i="6" s="1"/>
  <c r="F100" i="6"/>
  <c r="H100" i="6"/>
  <c r="F30" i="6"/>
  <c r="H30" i="6"/>
  <c r="D30" i="6" s="1"/>
  <c r="K116" i="6"/>
  <c r="F31" i="6"/>
  <c r="H31" i="6"/>
  <c r="K117" i="6" s="1"/>
  <c r="D31" i="6"/>
  <c r="D41" i="6"/>
  <c r="F51" i="6"/>
  <c r="F62" i="6" s="1"/>
  <c r="H40" i="6"/>
  <c r="D40" i="6" s="1"/>
  <c r="F29" i="6"/>
  <c r="H29" i="6"/>
  <c r="D29" i="6" s="1"/>
  <c r="F99" i="6"/>
  <c r="F115" i="6"/>
  <c r="A115" i="6"/>
  <c r="O31" i="4"/>
  <c r="P43" i="4"/>
  <c r="B43" i="4" s="1"/>
  <c r="A29" i="6" s="1"/>
  <c r="P55" i="4"/>
  <c r="B91" i="4" s="1"/>
  <c r="A73" i="6" s="1"/>
  <c r="B79" i="4"/>
  <c r="A62" i="6" s="1"/>
  <c r="B103" i="4"/>
  <c r="A84" i="6" s="1"/>
  <c r="AA16" i="4" a="1"/>
  <c r="AA16" i="4"/>
  <c r="A118" i="6"/>
  <c r="AA17" i="4" a="1"/>
  <c r="AA17" i="4"/>
  <c r="A119" i="6"/>
  <c r="B34" i="4"/>
  <c r="A21" i="6"/>
  <c r="F43" i="6"/>
  <c r="F118" i="6" s="1"/>
  <c r="F21" i="6"/>
  <c r="H21" i="6"/>
  <c r="D21" i="6"/>
  <c r="H43" i="6"/>
  <c r="F54" i="6"/>
  <c r="H54" i="6" s="1"/>
  <c r="D54" i="6" s="1"/>
  <c r="F32" i="6"/>
  <c r="H32" i="6" s="1"/>
  <c r="O34" i="4"/>
  <c r="P46" i="4"/>
  <c r="B46" i="4" s="1"/>
  <c r="A32" i="6" s="1"/>
  <c r="P58" i="4"/>
  <c r="B70" i="4" s="1"/>
  <c r="A54" i="6" s="1"/>
  <c r="B58" i="4"/>
  <c r="A43" i="6" s="1"/>
  <c r="B106" i="4"/>
  <c r="A87" i="6" s="1"/>
  <c r="B35" i="4"/>
  <c r="O35" i="4"/>
  <c r="P59" i="4"/>
  <c r="B125" i="4" s="1"/>
  <c r="A103" i="6" s="1"/>
  <c r="P47" i="4"/>
  <c r="B47" i="4" s="1"/>
  <c r="A33" i="6" s="1"/>
  <c r="A22" i="6"/>
  <c r="F22" i="6"/>
  <c r="F33" i="6"/>
  <c r="H33" i="6" s="1"/>
  <c r="F44" i="6"/>
  <c r="F55" i="6" s="1"/>
  <c r="H44" i="6"/>
  <c r="D44" i="6" s="1"/>
  <c r="F119"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77" i="4" s="1"/>
  <c r="A60" i="6" s="1"/>
  <c r="B99" i="4"/>
  <c r="A81" i="6"/>
  <c r="B87" i="4"/>
  <c r="A70" i="6"/>
  <c r="B75" i="4"/>
  <c r="A59" i="6"/>
  <c r="B63" i="4"/>
  <c r="A48" i="6"/>
  <c r="P51" i="4"/>
  <c r="B51" i="4"/>
  <c r="A37" i="6"/>
  <c r="Q41" i="4"/>
  <c r="B41" i="4" s="1"/>
  <c r="A27" i="6" s="1"/>
  <c r="A26" i="6"/>
  <c r="B17" i="5" l="1"/>
  <c r="C17" i="5"/>
  <c r="C11" i="5"/>
  <c r="B12" i="5"/>
  <c r="C16" i="5"/>
  <c r="C15" i="5"/>
  <c r="B11" i="5"/>
  <c r="C12" i="5"/>
  <c r="B15" i="5"/>
  <c r="B7" i="5"/>
  <c r="C8" i="5"/>
  <c r="C5" i="5"/>
  <c r="B9" i="5"/>
  <c r="B6" i="5"/>
  <c r="C10" i="5"/>
  <c r="C7" i="5"/>
  <c r="B8" i="5"/>
  <c r="B5" i="5"/>
  <c r="C9" i="5"/>
  <c r="C6" i="5"/>
  <c r="C15" i="6"/>
  <c r="H112" i="6"/>
  <c r="D112" i="6" s="1"/>
  <c r="C2" i="6"/>
  <c r="C112" i="6"/>
  <c r="C5" i="6"/>
  <c r="C4" i="6"/>
  <c r="C12" i="6"/>
  <c r="C11" i="6"/>
  <c r="C10" i="6"/>
  <c r="C13" i="6"/>
  <c r="C9" i="6"/>
  <c r="H99" i="6"/>
  <c r="B16" i="3"/>
  <c r="B12" i="3"/>
  <c r="B7" i="3"/>
  <c r="A77" i="2"/>
  <c r="A69" i="2"/>
  <c r="C15" i="3"/>
  <c r="C11" i="3"/>
  <c r="C6" i="3"/>
  <c r="A76" i="2"/>
  <c r="A68" i="2"/>
  <c r="B6" i="3"/>
  <c r="A75" i="2"/>
  <c r="A67" i="2"/>
  <c r="C22" i="3"/>
  <c r="C18" i="3"/>
  <c r="C14" i="3"/>
  <c r="C10" i="3"/>
  <c r="A9" i="2"/>
  <c r="A74" i="2"/>
  <c r="H39" i="6"/>
  <c r="C39" i="6" s="1"/>
  <c r="V47" i="4"/>
  <c r="W47" i="4" s="1"/>
  <c r="X47" i="4" s="1"/>
  <c r="Y47" i="4" s="1"/>
  <c r="Z47" i="4" s="1"/>
  <c r="AA47" i="4" s="1"/>
  <c r="V46" i="4"/>
  <c r="W46" i="4" s="1"/>
  <c r="Z48" i="4"/>
  <c r="AA48" i="4" s="1"/>
  <c r="C100" i="6"/>
  <c r="V44" i="4"/>
  <c r="W44" i="4" s="1"/>
  <c r="B101" i="4"/>
  <c r="A82" i="6" s="1"/>
  <c r="B55" i="4"/>
  <c r="A40" i="6" s="1"/>
  <c r="C40" i="6"/>
  <c r="T42" i="4"/>
  <c r="U42" i="4" s="1"/>
  <c r="V43" i="4" s="1"/>
  <c r="H51" i="6"/>
  <c r="D51" i="6" s="1"/>
  <c r="AB49" i="4"/>
  <c r="AC49" i="4" s="1"/>
  <c r="AB48" i="4"/>
  <c r="F50" i="6"/>
  <c r="H50" i="6" s="1"/>
  <c r="D50" i="6" s="1"/>
  <c r="H28" i="6"/>
  <c r="D28" i="6" s="1"/>
  <c r="AC50" i="4"/>
  <c r="F114" i="6"/>
  <c r="D22" i="6"/>
  <c r="C22" i="6"/>
  <c r="H55" i="6"/>
  <c r="D55" i="6" s="1"/>
  <c r="F66" i="6"/>
  <c r="C33" i="6"/>
  <c r="D33" i="6"/>
  <c r="K119" i="6"/>
  <c r="B83" i="4"/>
  <c r="A66" i="6" s="1"/>
  <c r="F94" i="6"/>
  <c r="F110" i="6" s="1"/>
  <c r="H110" i="6" s="1"/>
  <c r="C110" i="6" s="1"/>
  <c r="C55" i="6"/>
  <c r="C44" i="6"/>
  <c r="C43" i="6"/>
  <c r="B95" i="4"/>
  <c r="A77" i="6" s="1"/>
  <c r="B107" i="4"/>
  <c r="A88" i="6" s="1"/>
  <c r="B59" i="4"/>
  <c r="A44" i="6" s="1"/>
  <c r="B53" i="4"/>
  <c r="A38" i="6" s="1"/>
  <c r="F103" i="6"/>
  <c r="H103" i="6" s="1"/>
  <c r="D103" i="6" s="1"/>
  <c r="B71" i="4"/>
  <c r="A55" i="6" s="1"/>
  <c r="K118" i="6"/>
  <c r="C32" i="6"/>
  <c r="D32" i="6"/>
  <c r="C54" i="6"/>
  <c r="B94" i="4"/>
  <c r="A76" i="6" s="1"/>
  <c r="F102" i="6"/>
  <c r="H102" i="6" s="1"/>
  <c r="D102" i="6" s="1"/>
  <c r="D43" i="6"/>
  <c r="F65" i="6"/>
  <c r="B82" i="4"/>
  <c r="A65" i="6" s="1"/>
  <c r="B124" i="4"/>
  <c r="A102" i="6" s="1"/>
  <c r="C31" i="6"/>
  <c r="F101" i="6"/>
  <c r="H101" i="6" s="1"/>
  <c r="F117" i="6"/>
  <c r="B69" i="4"/>
  <c r="A53" i="6" s="1"/>
  <c r="B105" i="4"/>
  <c r="A86" i="6" s="1"/>
  <c r="H42" i="6"/>
  <c r="D42" i="6" s="1"/>
  <c r="B81" i="4"/>
  <c r="A64" i="6" s="1"/>
  <c r="C20" i="6"/>
  <c r="F53" i="6"/>
  <c r="B57" i="4"/>
  <c r="A42" i="6" s="1"/>
  <c r="B93" i="4"/>
  <c r="A75" i="6" s="1"/>
  <c r="C52" i="6"/>
  <c r="D52" i="6"/>
  <c r="F85" i="6"/>
  <c r="H85" i="6" s="1"/>
  <c r="H74" i="6"/>
  <c r="B56" i="4"/>
  <c r="A41" i="6" s="1"/>
  <c r="C19" i="6"/>
  <c r="C63" i="6"/>
  <c r="C30" i="6"/>
  <c r="B122" i="4"/>
  <c r="A100" i="6" s="1"/>
  <c r="D100" i="6"/>
  <c r="H62" i="6"/>
  <c r="F73" i="6"/>
  <c r="C99" i="6"/>
  <c r="D99" i="6"/>
  <c r="B121" i="4"/>
  <c r="A99" i="6" s="1"/>
  <c r="B67" i="4"/>
  <c r="A51" i="6" s="1"/>
  <c r="C29" i="6"/>
  <c r="K115" i="6"/>
  <c r="D101" i="4"/>
  <c r="B89" i="4"/>
  <c r="A71" i="6" s="1"/>
  <c r="D17" i="6"/>
  <c r="C17" i="6"/>
  <c r="F98" i="6"/>
  <c r="H98" i="6" s="1"/>
  <c r="B65" i="4"/>
  <c r="A49" i="6" s="1"/>
  <c r="F61" i="6"/>
  <c r="D77" i="4"/>
  <c r="G53" i="4"/>
  <c r="G41" i="4"/>
  <c r="G101" i="4"/>
  <c r="G65" i="4"/>
  <c r="G89" i="4"/>
  <c r="G77" i="4"/>
  <c r="D114" i="4"/>
  <c r="D41" i="4"/>
  <c r="D53" i="4"/>
  <c r="D65" i="4"/>
  <c r="AB17" i="5" l="1"/>
  <c r="V17" i="5"/>
  <c r="G17" i="5" s="1"/>
  <c r="AB14" i="5"/>
  <c r="V14" i="5"/>
  <c r="V15" i="5"/>
  <c r="G15" i="5" s="1"/>
  <c r="AB15" i="5"/>
  <c r="AB16" i="5"/>
  <c r="V16" i="5"/>
  <c r="AB12" i="5"/>
  <c r="V12" i="5"/>
  <c r="G12" i="5" s="1"/>
  <c r="AB13" i="5"/>
  <c r="V13" i="5"/>
  <c r="AB11" i="5"/>
  <c r="V11" i="5"/>
  <c r="F124" i="6"/>
  <c r="C124" i="6" s="1"/>
  <c r="AB5" i="5"/>
  <c r="V5" i="5"/>
  <c r="V8" i="5"/>
  <c r="G8" i="5" s="1"/>
  <c r="AB8" i="5"/>
  <c r="AB7" i="5"/>
  <c r="G119" i="6" s="1"/>
  <c r="H119" i="6" s="1"/>
  <c r="V7" i="5"/>
  <c r="G7" i="5" s="1"/>
  <c r="AB6" i="5"/>
  <c r="V6" i="5"/>
  <c r="G6" i="5" s="1"/>
  <c r="AB10" i="5"/>
  <c r="V10" i="5"/>
  <c r="G10" i="5" s="1"/>
  <c r="AB9" i="5"/>
  <c r="V9" i="5"/>
  <c r="C50" i="6"/>
  <c r="D39" i="6"/>
  <c r="H94" i="6"/>
  <c r="D94" i="6" s="1"/>
  <c r="W45" i="4"/>
  <c r="C103" i="6"/>
  <c r="W43" i="4"/>
  <c r="X46" i="4"/>
  <c r="Y46" i="4" s="1"/>
  <c r="Z46" i="4" s="1"/>
  <c r="F95" i="6"/>
  <c r="H95" i="6" s="1"/>
  <c r="D110" i="6"/>
  <c r="C51" i="6"/>
  <c r="V42" i="4"/>
  <c r="W42" i="4" s="1"/>
  <c r="X42" i="4" s="1"/>
  <c r="Y42" i="4" s="1"/>
  <c r="F109" i="6"/>
  <c r="H109" i="6" s="1"/>
  <c r="D109" i="6" s="1"/>
  <c r="F111" i="6"/>
  <c r="H111" i="6" s="1"/>
  <c r="C111" i="6" s="1"/>
  <c r="F108" i="6"/>
  <c r="H108" i="6" s="1"/>
  <c r="AA46" i="4"/>
  <c r="AB46" i="4" s="1"/>
  <c r="AB47" i="4"/>
  <c r="AC47" i="4" s="1"/>
  <c r="C28" i="6"/>
  <c r="AC48" i="4"/>
  <c r="K114" i="6"/>
  <c r="B2" i="6"/>
  <c r="H66" i="6"/>
  <c r="F77" i="6"/>
  <c r="C102" i="6"/>
  <c r="F76" i="6"/>
  <c r="H65" i="6"/>
  <c r="C42" i="6"/>
  <c r="F64" i="6"/>
  <c r="H53" i="6"/>
  <c r="C101" i="6"/>
  <c r="D101" i="6"/>
  <c r="C74" i="6"/>
  <c r="D74" i="6"/>
  <c r="D85" i="6"/>
  <c r="C85" i="6"/>
  <c r="H73" i="6"/>
  <c r="F84" i="6"/>
  <c r="H84" i="6" s="1"/>
  <c r="C62" i="6"/>
  <c r="D62" i="6"/>
  <c r="D108" i="6"/>
  <c r="C108" i="6"/>
  <c r="H61" i="6"/>
  <c r="F72" i="6"/>
  <c r="C94" i="6"/>
  <c r="D111" i="6"/>
  <c r="F96" i="6"/>
  <c r="H96" i="6" s="1"/>
  <c r="D98" i="6"/>
  <c r="C98" i="6"/>
  <c r="H17" i="5" l="1"/>
  <c r="I17" i="5"/>
  <c r="R17" i="5"/>
  <c r="E17" i="5"/>
  <c r="J17" i="5"/>
  <c r="F17" i="5"/>
  <c r="I11" i="5"/>
  <c r="H11" i="5"/>
  <c r="E11" i="5"/>
  <c r="F11" i="5"/>
  <c r="R11" i="5"/>
  <c r="J11" i="5"/>
  <c r="G11" i="5"/>
  <c r="H13" i="5"/>
  <c r="R13" i="5"/>
  <c r="H16" i="5"/>
  <c r="R16" i="5"/>
  <c r="H14" i="5"/>
  <c r="R14" i="5"/>
  <c r="T14" i="5"/>
  <c r="R12" i="5"/>
  <c r="J12" i="5"/>
  <c r="I12" i="5"/>
  <c r="H12" i="5"/>
  <c r="E12" i="5"/>
  <c r="F12" i="5"/>
  <c r="E15" i="5"/>
  <c r="J15" i="5"/>
  <c r="F15" i="5"/>
  <c r="R15" i="5"/>
  <c r="H15" i="5"/>
  <c r="I15" i="5"/>
  <c r="G114" i="6"/>
  <c r="H114" i="6" s="1"/>
  <c r="D114" i="6" s="1"/>
  <c r="G115" i="6"/>
  <c r="H115" i="6" s="1"/>
  <c r="D115" i="6" s="1"/>
  <c r="H8" i="5"/>
  <c r="E8" i="5"/>
  <c r="F8" i="5"/>
  <c r="R8" i="5"/>
  <c r="J8" i="5"/>
  <c r="I8" i="5"/>
  <c r="F10" i="5"/>
  <c r="R10" i="5"/>
  <c r="J10" i="5"/>
  <c r="I10" i="5"/>
  <c r="H10" i="5"/>
  <c r="E10" i="5"/>
  <c r="G117" i="6"/>
  <c r="H117" i="6" s="1"/>
  <c r="R7" i="5"/>
  <c r="J7" i="5"/>
  <c r="I7" i="5"/>
  <c r="H7" i="5"/>
  <c r="E7" i="5"/>
  <c r="F7" i="5"/>
  <c r="R9" i="5"/>
  <c r="J9" i="5"/>
  <c r="I9" i="5"/>
  <c r="H9" i="5"/>
  <c r="E9" i="5"/>
  <c r="F9" i="5"/>
  <c r="J6" i="5"/>
  <c r="I6" i="5"/>
  <c r="H6" i="5"/>
  <c r="E6" i="5"/>
  <c r="F6" i="5"/>
  <c r="R6" i="5"/>
  <c r="G118" i="6"/>
  <c r="H118" i="6" s="1"/>
  <c r="G116" i="6"/>
  <c r="H116" i="6" s="1"/>
  <c r="E5" i="5"/>
  <c r="F5" i="5"/>
  <c r="R5" i="5"/>
  <c r="J5" i="5"/>
  <c r="I5" i="5"/>
  <c r="H5" i="5"/>
  <c r="D119" i="6"/>
  <c r="C119" i="6"/>
  <c r="G5" i="5"/>
  <c r="C109" i="6"/>
  <c r="X44" i="4"/>
  <c r="Y44" i="4" s="1"/>
  <c r="Z44" i="4" s="1"/>
  <c r="X45" i="4"/>
  <c r="Y45" i="4" s="1"/>
  <c r="Z45" i="4" s="1"/>
  <c r="AA45" i="4" s="1"/>
  <c r="X43" i="4"/>
  <c r="AC46" i="4"/>
  <c r="AB45" i="4"/>
  <c r="AC45" i="4" s="1"/>
  <c r="H77" i="6"/>
  <c r="F88" i="6"/>
  <c r="H88" i="6" s="1"/>
  <c r="D66" i="6"/>
  <c r="C66" i="6"/>
  <c r="C65" i="6"/>
  <c r="D65" i="6"/>
  <c r="H76" i="6"/>
  <c r="F87" i="6"/>
  <c r="H87" i="6" s="1"/>
  <c r="D53" i="6"/>
  <c r="C53" i="6"/>
  <c r="H64" i="6"/>
  <c r="F75" i="6"/>
  <c r="D73" i="6"/>
  <c r="C73" i="6"/>
  <c r="D84" i="6"/>
  <c r="C84" i="6"/>
  <c r="F83" i="6"/>
  <c r="H83" i="6" s="1"/>
  <c r="H72" i="6"/>
  <c r="D61" i="6"/>
  <c r="C61" i="6"/>
  <c r="C95" i="6"/>
  <c r="D95" i="6"/>
  <c r="C96" i="6"/>
  <c r="D96" i="6"/>
  <c r="X17" i="5" l="1"/>
  <c r="X13" i="5"/>
  <c r="X14" i="5"/>
  <c r="X15" i="5"/>
  <c r="X12" i="5"/>
  <c r="X11" i="5"/>
  <c r="X16" i="5"/>
  <c r="C114" i="6"/>
  <c r="C115" i="6"/>
  <c r="D116" i="6"/>
  <c r="C116" i="6"/>
  <c r="D118" i="6"/>
  <c r="C118" i="6"/>
  <c r="X9" i="5"/>
  <c r="X5" i="5"/>
  <c r="G124" i="6" a="1"/>
  <c r="G124" i="6" s="1"/>
  <c r="H124" i="6" s="1"/>
  <c r="D124" i="6" s="1"/>
  <c r="X10" i="5"/>
  <c r="X6" i="5"/>
  <c r="D117" i="6"/>
  <c r="C117" i="6"/>
  <c r="X7" i="5"/>
  <c r="X8" i="5"/>
  <c r="Y43" i="4"/>
  <c r="C88" i="6"/>
  <c r="D88" i="6"/>
  <c r="D77" i="6"/>
  <c r="C77" i="6"/>
  <c r="D87" i="6"/>
  <c r="C87" i="6"/>
  <c r="C76" i="6"/>
  <c r="D76" i="6"/>
  <c r="D64" i="6"/>
  <c r="C64" i="6"/>
  <c r="F86" i="6"/>
  <c r="H86" i="6" s="1"/>
  <c r="H75" i="6"/>
  <c r="D72" i="6"/>
  <c r="C72" i="6"/>
  <c r="D83" i="6"/>
  <c r="C83" i="6"/>
  <c r="S17" i="5"/>
  <c r="S12" i="5"/>
  <c r="S7" i="5"/>
  <c r="S8" i="5"/>
  <c r="S11" i="5"/>
  <c r="S13" i="5"/>
  <c r="S5" i="5"/>
  <c r="S10" i="5"/>
  <c r="S14" i="5"/>
  <c r="S16" i="5"/>
  <c r="S9" i="5"/>
  <c r="S15" i="5"/>
  <c r="S6" i="5"/>
  <c r="H125" i="6" l="1"/>
  <c r="D2" i="6" s="1"/>
  <c r="Z43" i="4"/>
  <c r="Z42" i="4"/>
  <c r="AA42" i="4" s="1"/>
  <c r="C75" i="6"/>
  <c r="D75" i="6"/>
  <c r="C86" i="6"/>
  <c r="D86" i="6"/>
  <c r="T17" i="5"/>
  <c r="T7" i="5"/>
  <c r="T15" i="5"/>
  <c r="T11" i="5"/>
  <c r="T9" i="5"/>
  <c r="T10" i="5"/>
  <c r="T5" i="5"/>
  <c r="T8" i="5"/>
  <c r="T6" i="5"/>
  <c r="T13" i="5"/>
  <c r="T12" i="5"/>
  <c r="T16" i="5"/>
  <c r="AA43" i="4" l="1"/>
  <c r="AA44" i="4"/>
  <c r="AB44" i="4" s="1"/>
  <c r="AB43" i="4" l="1"/>
  <c r="AC43" i="4" s="1"/>
  <c r="AB42" i="4"/>
  <c r="AC42"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<sst xmlns="http://schemas.openxmlformats.org/spreadsheetml/2006/main" count="28065" uniqueCount="20088">
  <si>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</si>
  <si>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</si>
  <si>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</si>
  <si>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</si>
  <si>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</si>
  <si>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</si>
  <si>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</si>
  <si>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</si>
  <si>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</si>
  <si>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</si>
  <si>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</si>
  <si>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</si>
  <si>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</si>
  <si>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</si>
  <si>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</si>
  <si>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</si>
  <si>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</si>
  <si>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</si>
  <si>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</si>
  <si>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</si>
  <si>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</si>
  <si>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</si>
  <si>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</si>
  <si>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</si>
  <si>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</si>
  <si>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</si>
  <si>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</si>
  <si>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</si>
  <si>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</si>
  <si>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</si>
  <si>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</si>
  <si>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</si>
  <si>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</si>
  <si>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</si>
  <si>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</si>
  <si>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</si>
  <si>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</si>
  <si>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</si>
  <si>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</si>
  <si>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</si>
  <si>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</si>
  <si>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</si>
  <si>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</si>
  <si>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</si>
  <si>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</si>
  <si>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</si>
  <si>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</si>
  <si>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</si>
  <si>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</si>
  <si>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</si>
  <si>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</si>
  <si>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</si>
  <si>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</si>
  <si>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</si>
  <si>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</si>
  <si>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</si>
  <si>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</si>
  <si>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</si>
  <si>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</si>
  <si>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</si>
  <si>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</si>
  <si>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</si>
  <si>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</si>
  <si>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</si>
  <si>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</si>
  <si>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</si>
  <si>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</si>
  <si>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</si>
  <si>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</si>
  <si>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</si>
  <si>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</si>
  <si>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</si>
  <si>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</si>
  <si>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</si>
  <si>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</si>
  <si>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</si>
  <si>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</si>
  <si>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</si>
  <si>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</si>
  <si>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</si>
  <si>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</si>
  <si>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</si>
  <si>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</si>
  <si>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</si>
  <si>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</si>
  <si>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</si>
  <si>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</si>
  <si>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</si>
  <si>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</si>
  <si>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</si>
  <si>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</si>
  <si>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</si>
  <si>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</si>
  <si>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</si>
  <si>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</si>
  <si>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</si>
  <si>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</si>
  <si>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</si>
  <si>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</si>
  <si>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</si>
  <si>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</si>
  <si>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</si>
  <si>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</si>
  <si>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</si>
  <si>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</si>
  <si>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</si>
  <si>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</si>
  <si>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</si>
  <si>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</si>
  <si>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</si>
  <si>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</si>
  <si>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</si>
  <si>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</si>
  <si>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</si>
  <si>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</si>
  <si>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</si>
  <si>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</si>
  <si>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</si>
  <si>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</si>
  <si>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</si>
  <si>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</si>
  <si>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</si>
  <si>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</si>
  <si>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</si>
  <si>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</si>
  <si>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</si>
  <si>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</si>
  <si>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</si>
  <si>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</si>
  <si>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</si>
  <si>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</si>
  <si>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</si>
  <si>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</si>
  <si>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</si>
  <si>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</si>
  <si>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</si>
  <si>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</si>
  <si>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</si>
  <si>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</si>
  <si>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</si>
  <si>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</si>
  <si>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</si>
  <si>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</si>
  <si>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</si>
  <si>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</si>
  <si>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</si>
  <si>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</si>
  <si>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</si>
  <si>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</si>
  <si>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</si>
  <si>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</si>
  <si>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</si>
  <si>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</si>
  <si>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</si>
  <si>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</si>
  <si>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</si>
  <si>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</si>
  <si>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</si>
  <si>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</si>
  <si>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</si>
  <si>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</si>
  <si>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</si>
  <si>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</si>
  <si>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</si>
  <si>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</si>
  <si>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</si>
  <si>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</si>
  <si>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</si>
  <si>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</si>
  <si>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</si>
  <si>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</si>
  <si>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</si>
  <si>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</si>
  <si>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</si>
  <si>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</si>
  <si>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</si>
  <si>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</si>
  <si>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</si>
  <si>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</si>
  <si>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</si>
  <si>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</si>
  <si>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</si>
  <si>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</si>
  <si>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</si>
  <si>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</si>
  <si>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</si>
  <si>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</si>
  <si>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</si>
  <si>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</si>
  <si>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</si>
  <si>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</si>
  <si>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</si>
  <si>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</si>
  <si>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</si>
  <si>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</si>
  <si>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</si>
  <si>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</si>
  <si>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</si>
  <si>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</si>
  <si>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</si>
  <si>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</si>
  <si>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</si>
  <si>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</si>
  <si>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</si>
  <si>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</si>
  <si>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</si>
  <si>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</si>
  <si>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</si>
  <si>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</si>
  <si>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</si>
  <si>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</si>
  <si>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</si>
  <si>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</si>
  <si>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</si>
  <si>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</si>
  <si>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</si>
  <si>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</si>
  <si>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</si>
  <si>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</si>
  <si>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</si>
  <si>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</si>
  <si>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</si>
  <si>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</si>
  <si>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</si>
  <si>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</si>
  <si>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</si>
  <si>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</si>
  <si>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</si>
  <si>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</si>
  <si>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</si>
  <si>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</si>
  <si>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</si>
  <si>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</si>
  <si>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</si>
  <si>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</si>
  <si>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</si>
  <si>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</si>
  <si>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</si>
  <si>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</si>
  <si>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</si>
  <si>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</si>
  <si>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</si>
  <si>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</si>
  <si>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</si>
  <si>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</si>
  <si>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</si>
  <si>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</si>
  <si>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</si>
  <si>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</si>
  <si>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</si>
  <si>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</si>
  <si>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</si>
  <si>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</si>
  <si>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</si>
  <si>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</si>
  <si>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</si>
  <si>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</si>
  <si>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</si>
  <si>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</si>
  <si>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</si>
  <si>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</si>
  <si>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</si>
  <si>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</si>
  <si>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</si>
  <si>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</si>
  <si>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</si>
  <si>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</si>
  <si>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</si>
  <si>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</si>
  <si>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</si>
  <si>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</si>
  <si>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</si>
  <si>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</si>
  <si>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</si>
  <si>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</si>
  <si>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</si>
  <si>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</si>
  <si>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</si>
  <si>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</si>
  <si>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</si>
  <si>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</si>
  <si>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</si>
  <si>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</si>
  <si>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</si>
  <si>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</si>
  <si>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</si>
  <si>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</si>
  <si>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</si>
  <si>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</si>
  <si>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</si>
  <si>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</si>
  <si>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</si>
  <si>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</si>
  <si>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</si>
  <si>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</si>
  <si>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</si>
  <si>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</si>
  <si>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</si>
  <si>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</si>
  <si>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</si>
  <si>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</si>
  <si>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</si>
  <si>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</si>
  <si>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</si>
  <si>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</si>
  <si>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</si>
  <si>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</si>
  <si>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</si>
  <si>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</si>
  <si>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</si>
  <si>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</si>
  <si>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</si>
  <si>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</si>
  <si>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</si>
  <si>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</si>
  <si>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</si>
  <si>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</si>
  <si>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</si>
  <si>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</si>
  <si>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</si>
  <si>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</si>
  <si>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</si>
  <si>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</si>
  <si>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</si>
  <si>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</si>
  <si>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</si>
  <si>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</si>
  <si>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</si>
  <si>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</si>
  <si>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</si>
  <si>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</si>
  <si>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</si>
  <si>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</si>
  <si>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</si>
  <si>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</si>
  <si>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</si>
  <si>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</si>
  <si>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</si>
  <si>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</si>
  <si>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</si>
  <si>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</si>
  <si>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</si>
  <si>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</si>
  <si>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</si>
  <si>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</si>
  <si>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</si>
  <si>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</si>
  <si>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</si>
  <si>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</si>
  <si>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</si>
  <si>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</si>
  <si>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</si>
  <si>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</si>
  <si>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</si>
  <si>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</si>
  <si>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</si>
  <si>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</si>
  <si>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</si>
  <si>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</si>
  <si>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</si>
  <si>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</si>
  <si>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</si>
  <si>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</si>
  <si>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</si>
  <si>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</si>
  <si>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</si>
  <si>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</si>
  <si>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</si>
  <si>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</si>
  <si>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</si>
  <si>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</si>
  <si>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</si>
  <si>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</si>
  <si>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</si>
  <si>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</si>
  <si>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</si>
  <si>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</si>
  <si>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</si>
  <si>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</si>
  <si>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</si>
  <si>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</si>
  <si>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</si>
  <si>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</si>
  <si>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</si>
  <si>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</si>
  <si>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</si>
  <si>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</si>
  <si>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</si>
  <si>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</si>
  <si>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</si>
  <si>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</si>
  <si>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</si>
  <si>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</si>
  <si>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</si>
  <si>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</si>
  <si>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</si>
  <si>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</si>
  <si>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</si>
  <si>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</si>
  <si>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</si>
  <si>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</si>
  <si>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</si>
  <si>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</si>
  <si>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</si>
  <si>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</si>
  <si>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</si>
  <si>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</si>
  <si>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</si>
  <si>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</si>
  <si>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</si>
  <si>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</si>
  <si>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</si>
  <si>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</si>
  <si>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</si>
  <si>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</si>
  <si>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</si>
  <si>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</si>
  <si>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</si>
  <si>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</si>
  <si>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</si>
  <si>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</si>
  <si>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</si>
  <si>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</si>
  <si>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</si>
  <si>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</si>
  <si>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</si>
  <si>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</si>
  <si>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</si>
  <si>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</si>
  <si>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</si>
  <si>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</si>
  <si>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</si>
  <si>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</si>
  <si>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</si>
  <si>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</si>
  <si>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</si>
  <si>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</si>
  <si>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</si>
  <si>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</si>
  <si>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</si>
  <si>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</si>
  <si>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</si>
  <si>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</si>
  <si>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</si>
  <si>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</si>
  <si>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</si>
  <si>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</si>
  <si>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</si>
  <si>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</si>
  <si>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</si>
  <si>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</si>
  <si>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</si>
  <si>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</si>
  <si>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</si>
  <si>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</si>
  <si>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</si>
  <si>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</si>
  <si>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</si>
  <si>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</si>
  <si>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</si>
  <si>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</si>
  <si>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</si>
  <si>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</si>
  <si>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</si>
  <si>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</si>
  <si>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</si>
  <si>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</si>
  <si>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</si>
  <si>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</si>
  <si>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</si>
  <si>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</si>
  <si>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</si>
  <si>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</si>
  <si>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</si>
  <si>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</si>
  <si>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</si>
  <si>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</si>
  <si>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</si>
  <si>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</si>
  <si>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</si>
  <si>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</si>
  <si>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</si>
  <si>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</si>
  <si>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</si>
  <si>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</si>
  <si>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</si>
  <si>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</si>
  <si>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</si>
  <si>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</si>
  <si>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</si>
  <si>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</si>
  <si>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</si>
  <si>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</si>
  <si>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</si>
  <si>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</si>
  <si>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</si>
  <si>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</si>
  <si>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</si>
  <si>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</si>
  <si>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</si>
  <si>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</si>
  <si>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</si>
  <si>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</si>
  <si>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</si>
  <si>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</si>
  <si>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</si>
  <si>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</si>
  <si>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</si>
  <si>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</si>
  <si>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</si>
  <si>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</si>
  <si>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</si>
  <si>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</si>
  <si>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</si>
  <si>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</si>
  <si>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</si>
  <si>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</si>
  <si>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</si>
  <si>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</si>
  <si>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</si>
  <si>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</si>
  <si>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</si>
  <si>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</si>
  <si>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</si>
  <si>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</si>
  <si>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</si>
  <si>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</si>
  <si>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</si>
  <si>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</si>
  <si>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</si>
  <si>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</si>
  <si>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</si>
  <si>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</si>
  <si>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</si>
  <si>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</si>
  <si>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</si>
  <si>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</si>
  <si>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</si>
  <si>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</si>
  <si>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</si>
  <si>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</si>
  <si>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</si>
  <si>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</si>
  <si>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</si>
  <si>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</si>
  <si>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</si>
  <si>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</si>
  <si>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</si>
  <si>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</si>
  <si>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</si>
  <si>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</si>
  <si>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</si>
  <si>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</si>
  <si>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</si>
  <si>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</si>
  <si>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</si>
  <si>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</si>
  <si>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</si>
  <si>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</si>
  <si>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</si>
  <si>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</si>
  <si>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</si>
  <si>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</si>
  <si>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</si>
  <si>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</si>
  <si>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</si>
  <si>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</si>
  <si>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</si>
  <si>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</si>
  <si>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</si>
  <si>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</si>
  <si>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</si>
  <si>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</si>
  <si>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</si>
  <si>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</si>
  <si>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</si>
  <si>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</si>
  <si>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</si>
  <si>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</si>
  <si>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</si>
  <si>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</si>
  <si>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</si>
  <si>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</si>
  <si>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</si>
  <si>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</si>
  <si>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</si>
  <si>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</si>
  <si>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</si>
  <si>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</si>
  <si>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</si>
  <si>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</si>
  <si>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</si>
  <si>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</si>
  <si>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</si>
  <si>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</si>
  <si>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</si>
  <si>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</si>
  <si>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</si>
  <si>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</si>
  <si>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</si>
  <si>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</si>
  <si>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</si>
  <si>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</si>
  <si>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</si>
  <si>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</si>
  <si>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</si>
  <si>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</si>
  <si>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</si>
  <si>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</si>
  <si>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</si>
  <si>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</si>
  <si>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</si>
  <si>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</si>
  <si>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</si>
  <si>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</si>
  <si>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</si>
  <si>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</si>
  <si>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</si>
  <si>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</si>
  <si>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</si>
  <si>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</si>
  <si>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</si>
  <si>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</si>
  <si>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</si>
  <si>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</si>
  <si>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</si>
  <si>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</si>
  <si>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</si>
  <si>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</si>
  <si>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</si>
  <si>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</si>
  <si>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</si>
  <si>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</si>
  <si>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</si>
  <si>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</si>
  <si>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</si>
  <si>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</si>
  <si>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</si>
  <si>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</si>
  <si>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</si>
  <si>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</si>
  <si>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</si>
  <si>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</si>
  <si>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</si>
  <si>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</si>
  <si>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</si>
  <si>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</si>
  <si>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</si>
  <si>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</si>
  <si>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</si>
  <si>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</si>
  <si>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</si>
  <si>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</si>
  <si>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</si>
  <si>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</si>
  <si>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</si>
  <si>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</si>
  <si>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</si>
  <si>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</si>
  <si>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</si>
  <si>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</si>
  <si>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</si>
  <si>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</si>
  <si>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</si>
  <si>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</si>
  <si>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</si>
  <si>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</si>
  <si>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</si>
  <si>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</si>
  <si>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</si>
  <si>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</si>
  <si>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</si>
  <si>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</si>
  <si>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</si>
  <si>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</si>
  <si>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</si>
  <si>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</si>
  <si>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</si>
  <si>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</si>
  <si>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</si>
  <si>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</si>
  <si>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</si>
  <si>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</si>
  <si>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</si>
  <si>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</si>
  <si>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</si>
  <si>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</si>
  <si>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</si>
  <si>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</si>
  <si>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</si>
  <si>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</si>
  <si>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</si>
  <si>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</si>
  <si>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</si>
  <si>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</si>
  <si>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</si>
  <si>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</si>
  <si>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</si>
  <si>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</si>
  <si>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</si>
  <si>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</si>
  <si>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</si>
  <si>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</si>
  <si>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</si>
  <si>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</si>
  <si>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</si>
  <si>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</si>
  <si>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</si>
  <si>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</si>
  <si>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</si>
  <si>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</si>
  <si>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</si>
  <si>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</si>
  <si>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</si>
  <si>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</si>
  <si>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</si>
  <si>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</si>
  <si>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</si>
  <si>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</si>
  <si>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</si>
  <si>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</si>
  <si>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</si>
  <si>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</si>
  <si>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</si>
  <si>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</si>
  <si>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</si>
  <si>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</si>
  <si>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</si>
  <si>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</si>
  <si>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</si>
  <si>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</si>
  <si>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</si>
  <si>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</si>
  <si>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</si>
  <si>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</si>
  <si>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</si>
  <si>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</si>
  <si>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</si>
  <si>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</si>
  <si>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</si>
  <si>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</si>
  <si>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</si>
  <si>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</si>
  <si>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</si>
  <si>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</si>
  <si>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</si>
  <si>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</si>
  <si>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</si>
  <si>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</si>
  <si>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</si>
  <si>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</si>
  <si>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</si>
  <si>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</si>
  <si>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</si>
  <si>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</si>
  <si>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</si>
  <si>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</si>
  <si>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</si>
  <si>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</si>
  <si>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</si>
  <si>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</si>
  <si>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</si>
  <si>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</si>
  <si>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</si>
  <si>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</si>
  <si>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</si>
  <si>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</si>
  <si>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</si>
  <si>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</si>
  <si>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</si>
  <si>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</si>
  <si>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</si>
  <si>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</si>
  <si>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</si>
  <si>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</si>
  <si>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</si>
  <si>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</si>
  <si>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</si>
  <si>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</si>
  <si>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</si>
  <si>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</si>
  <si>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</si>
  <si>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</si>
  <si>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</si>
  <si>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</si>
  <si>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</si>
  <si>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</si>
  <si>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</si>
  <si>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</si>
  <si>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</si>
  <si>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</si>
  <si>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</si>
  <si>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</si>
  <si>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</si>
  <si>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</si>
  <si>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</si>
  <si>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</si>
  <si>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</si>
  <si>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</si>
  <si>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</si>
  <si>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</si>
  <si>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</si>
  <si>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</si>
  <si>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</si>
  <si>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</si>
  <si>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</si>
  <si>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</si>
  <si>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</si>
  <si>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</si>
  <si>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</si>
  <si>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</si>
  <si>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</si>
  <si>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</si>
  <si>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</si>
  <si>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</si>
  <si>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</si>
  <si>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</si>
  <si>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</si>
  <si>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</si>
  <si>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</si>
  <si>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</si>
  <si>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</si>
  <si>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</si>
  <si>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</si>
  <si>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</si>
  <si>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</si>
  <si>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</si>
  <si>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</si>
  <si>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</si>
  <si>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</si>
  <si>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</si>
  <si>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</si>
  <si>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</si>
  <si>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</si>
  <si>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</si>
  <si>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</si>
  <si>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</si>
  <si>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</si>
  <si>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</si>
  <si>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</si>
  <si>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</si>
  <si>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</si>
  <si>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</si>
  <si>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</si>
  <si>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</si>
  <si>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</si>
  <si>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</si>
  <si>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</si>
  <si>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</si>
  <si>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</si>
  <si>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</si>
  <si>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</si>
  <si>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</si>
  <si>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</si>
  <si>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</si>
  <si>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</si>
  <si>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</si>
  <si>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</si>
  <si>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</si>
  <si>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</si>
  <si>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</si>
  <si>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</si>
  <si>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</si>
  <si>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</si>
  <si>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</si>
  <si>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</si>
  <si>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</si>
  <si>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</si>
  <si>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</si>
  <si>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</si>
  <si>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</si>
  <si>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</si>
  <si>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</si>
  <si>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</si>
  <si>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</si>
  <si>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</si>
  <si>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</si>
  <si>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</si>
  <si>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</si>
  <si>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</si>
  <si>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</si>
  <si>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</si>
  <si>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</si>
  <si>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</si>
  <si>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</si>
  <si>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</si>
  <si>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</si>
  <si>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</si>
  <si>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</si>
  <si>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</si>
  <si>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</si>
  <si>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</si>
  <si>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</si>
  <si>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</si>
  <si>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</si>
  <si>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</si>
  <si>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</si>
  <si>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</si>
  <si>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</si>
  <si>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</si>
  <si>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</si>
  <si>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</si>
  <si>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</si>
  <si>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</si>
  <si>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</si>
  <si>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</si>
  <si>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</si>
  <si>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</si>
  <si>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</si>
  <si>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</si>
  <si>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</si>
  <si>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</si>
  <si>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</si>
  <si>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</si>
  <si>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</si>
  <si>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</si>
  <si>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</si>
  <si>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</si>
  <si>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</si>
  <si>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</si>
  <si>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</si>
  <si>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</si>
  <si>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</si>
  <si>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</si>
  <si>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</si>
  <si>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</si>
  <si>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</si>
  <si>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</si>
  <si>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</si>
  <si>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</si>
  <si>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</si>
  <si>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</si>
  <si>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</si>
  <si>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</si>
  <si>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</si>
  <si>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</si>
  <si>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</si>
  <si>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</si>
  <si>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</si>
  <si>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</si>
  <si>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</si>
  <si>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</si>
  <si>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</si>
  <si>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</si>
  <si>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</si>
  <si>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</si>
  <si>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</si>
  <si>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</si>
  <si>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</si>
  <si>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</si>
  <si>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</si>
  <si>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</si>
  <si>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</si>
  <si>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</si>
  <si>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</si>
  <si>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</si>
  <si>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</si>
  <si>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</si>
  <si>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</si>
  <si>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</si>
  <si>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</si>
  <si>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</si>
  <si>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</si>
  <si>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</si>
  <si>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</si>
  <si>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</si>
  <si>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</si>
  <si>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</si>
  <si>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</si>
  <si>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</si>
  <si>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</si>
  <si>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</si>
  <si>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</si>
  <si>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</si>
  <si>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</si>
  <si>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</si>
  <si>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</si>
  <si>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</si>
  <si>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</si>
  <si>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</si>
  <si>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</si>
  <si>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</si>
  <si>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</si>
  <si>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</si>
  <si>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</si>
  <si>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</si>
  <si>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</si>
  <si>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</si>
  <si>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</si>
  <si>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</si>
  <si>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</si>
  <si>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</si>
  <si>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</si>
  <si>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</si>
  <si>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</si>
  <si>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</si>
  <si>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</si>
  <si>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</si>
  <si>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</si>
  <si>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</si>
  <si>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</si>
  <si>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</si>
  <si>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</si>
  <si>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</si>
  <si>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</si>
  <si>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</si>
  <si>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</si>
  <si>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</si>
  <si>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</si>
  <si>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</si>
  <si>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</si>
  <si>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</si>
  <si>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</si>
  <si>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</si>
  <si>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</si>
  <si>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</si>
  <si>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</si>
  <si>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</si>
  <si>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</si>
  <si>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</si>
  <si>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</si>
  <si>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</si>
  <si>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</si>
  <si>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</si>
  <si>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</si>
  <si>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</si>
  <si>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</si>
  <si>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</si>
  <si>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</si>
  <si>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</si>
  <si>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</si>
  <si>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</si>
  <si>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</si>
  <si>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</si>
  <si>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</si>
  <si>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</si>
  <si>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</si>
  <si>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</si>
  <si>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</si>
  <si>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</si>
  <si>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</si>
  <si>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</si>
  <si>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</si>
  <si>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</si>
  <si>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</si>
  <si>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</si>
  <si>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</si>
  <si>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</si>
  <si>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</si>
  <si>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</si>
  <si>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</si>
  <si>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</si>
  <si>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</si>
  <si>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</si>
  <si>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</si>
  <si>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</si>
  <si>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</si>
  <si>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</si>
  <si>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</si>
  <si>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</si>
  <si>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</si>
  <si>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</si>
  <si>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</si>
  <si>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</si>
  <si>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</si>
  <si>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</si>
  <si>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</si>
  <si>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</si>
  <si>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</si>
  <si>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</si>
  <si>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</si>
  <si>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</si>
  <si>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</si>
  <si>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</si>
  <si>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</si>
  <si>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</si>
  <si>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</si>
  <si>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</si>
  <si>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</si>
  <si>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</si>
  <si>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</si>
  <si>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</si>
  <si>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</si>
  <si>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</si>
  <si>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</si>
  <si>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</si>
  <si>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</si>
  <si>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</si>
  <si>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</si>
  <si>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</si>
  <si>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</si>
  <si>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</si>
  <si>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</si>
  <si>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</si>
  <si>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</si>
  <si>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</si>
  <si>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</si>
  <si>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</si>
  <si>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</si>
  <si>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</si>
  <si>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</si>
  <si>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</si>
  <si>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</si>
  <si>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</si>
  <si>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</si>
  <si>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</si>
  <si>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</si>
  <si>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</si>
  <si>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</si>
  <si>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</si>
  <si>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</si>
  <si>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</si>
  <si>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</si>
  <si>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</si>
  <si>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</si>
  <si>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</si>
  <si>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</si>
  <si>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</si>
  <si>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</si>
  <si>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</si>
  <si>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</si>
  <si>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</si>
  <si>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</si>
  <si>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</si>
  <si>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</si>
  <si>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</si>
  <si>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</si>
  <si>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</si>
  <si>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</si>
  <si>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</si>
  <si>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</si>
  <si>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</si>
  <si>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</si>
  <si>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</si>
  <si>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</si>
  <si>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</si>
  <si>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</si>
  <si>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</si>
  <si>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</si>
  <si>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</si>
  <si>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</si>
  <si>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</si>
  <si>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</si>
  <si>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</si>
  <si>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</si>
  <si>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</si>
  <si>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</si>
  <si>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</si>
  <si>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</si>
  <si>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</si>
  <si>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</si>
  <si>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</si>
  <si>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</si>
  <si>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</si>
  <si>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</si>
  <si>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</si>
  <si>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</si>
  <si>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</si>
  <si>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</si>
  <si>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</si>
  <si>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</si>
  <si>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</si>
  <si>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</si>
  <si>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</si>
  <si>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</si>
  <si>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</si>
  <si>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</si>
  <si>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</si>
  <si>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</si>
  <si>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</si>
  <si>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</si>
  <si>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</si>
  <si>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</si>
  <si>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</si>
  <si>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</si>
  <si>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</si>
  <si>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</si>
  <si>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</si>
  <si>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</si>
  <si>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</si>
  <si>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</si>
  <si>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</si>
  <si>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</si>
  <si>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</si>
  <si>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</si>
  <si>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</si>
  <si>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</si>
  <si>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</si>
  <si>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</si>
  <si>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</si>
  <si>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</si>
  <si>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</si>
  <si>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</si>
  <si>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</si>
  <si>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</si>
  <si>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</si>
  <si>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</si>
  <si>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</si>
  <si>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</si>
  <si>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</si>
  <si>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</si>
  <si>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</si>
  <si>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</si>
  <si>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</si>
  <si>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</si>
  <si>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</si>
  <si>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</si>
  <si>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</si>
  <si>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</si>
  <si>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</si>
  <si>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</si>
  <si>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</si>
  <si>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</si>
  <si>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</si>
  <si>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</si>
  <si>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</si>
  <si>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</si>
  <si>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</si>
  <si>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</si>
  <si>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</si>
  <si>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</si>
  <si>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</si>
  <si>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</si>
  <si>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</si>
  <si>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</si>
  <si>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</si>
  <si>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</si>
  <si>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</si>
  <si>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</si>
  <si>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</si>
  <si>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</si>
  <si>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</si>
  <si>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</si>
  <si>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</si>
  <si>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</si>
  <si>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</si>
  <si>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</si>
  <si>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</si>
  <si>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</si>
  <si>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</si>
  <si>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</si>
  <si>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</si>
  <si>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</si>
  <si>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</si>
  <si>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</si>
  <si>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</si>
  <si>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</si>
  <si>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</si>
  <si>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</si>
  <si>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</si>
  <si>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</si>
  <si>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</si>
  <si>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</si>
  <si>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</si>
  <si>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</si>
  <si>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</si>
  <si>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</si>
  <si>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</si>
  <si>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</si>
  <si>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</si>
  <si>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</si>
  <si>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</si>
  <si>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</si>
  <si>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</si>
  <si>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</si>
  <si>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</si>
  <si>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</si>
  <si>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</si>
  <si>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</si>
  <si>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</si>
  <si>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</si>
  <si>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</si>
  <si>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</si>
  <si>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</si>
  <si>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</si>
  <si>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</si>
  <si>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</si>
  <si>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</si>
  <si>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</si>
  <si>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</si>
  <si>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</si>
  <si>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</si>
  <si>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</si>
  <si>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</si>
  <si>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</si>
  <si>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</si>
  <si>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</si>
  <si>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</si>
  <si>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</si>
  <si>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</si>
  <si>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</si>
  <si>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</si>
  <si>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</si>
  <si>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</si>
  <si>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</si>
  <si>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</si>
  <si>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</si>
  <si>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</si>
  <si>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</si>
  <si>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</si>
  <si>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</si>
  <si>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</si>
  <si>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</si>
  <si>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</si>
  <si>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</si>
  <si>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</si>
  <si>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</si>
  <si>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</si>
  <si>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</si>
  <si>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</si>
  <si>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</si>
  <si>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</si>
  <si>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</si>
  <si>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</si>
  <si>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</si>
  <si>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</si>
  <si>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</si>
  <si>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</si>
  <si>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</si>
  <si>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</si>
  <si>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</si>
  <si>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</si>
  <si>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</si>
  <si>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</si>
  <si>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</si>
  <si>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</si>
  <si>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</si>
  <si>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</si>
  <si>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</si>
  <si>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</si>
  <si>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</si>
  <si>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</si>
  <si>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</si>
  <si>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</si>
  <si>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</si>
  <si>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</si>
  <si>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</si>
  <si>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</si>
  <si>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</si>
  <si>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</si>
  <si>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</si>
  <si>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</si>
  <si>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</si>
  <si>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</si>
  <si>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</si>
  <si>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</si>
  <si>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</si>
  <si>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</si>
  <si>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</si>
  <si>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</si>
  <si>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</si>
  <si>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</si>
  <si>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</si>
  <si>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</si>
  <si>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</si>
  <si>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</si>
  <si>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</si>
  <si>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</si>
  <si>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</si>
  <si>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</si>
  <si>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</si>
  <si>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</si>
  <si>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</si>
  <si>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</si>
  <si>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</si>
  <si>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</si>
  <si>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</si>
  <si>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</si>
  <si>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</si>
  <si>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</si>
  <si>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</si>
  <si>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</si>
  <si>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</si>
  <si>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</si>
  <si>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</si>
  <si>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</si>
  <si>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</si>
  <si>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</si>
  <si>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</si>
  <si>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</si>
  <si>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</si>
  <si>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</si>
  <si>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</si>
  <si>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</si>
  <si>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</si>
  <si>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</si>
  <si>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</si>
  <si>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</si>
  <si>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</si>
  <si>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</si>
  <si>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</si>
  <si>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</si>
  <si>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</si>
  <si>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</si>
  <si>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</si>
  <si>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</si>
  <si>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</si>
  <si>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</si>
  <si>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</si>
  <si>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</si>
  <si>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</si>
  <si>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</si>
  <si>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</si>
  <si>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</si>
  <si>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</si>
  <si>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</si>
  <si>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</si>
  <si>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</si>
  <si>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</si>
  <si>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</si>
  <si>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</si>
  <si>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</si>
  <si>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</si>
  <si>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</si>
  <si>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</si>
  <si>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</si>
  <si>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</si>
  <si>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</si>
  <si>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</si>
  <si>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</si>
  <si>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</si>
  <si>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</si>
  <si>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</si>
  <si>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</si>
  <si>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</si>
  <si>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</si>
  <si>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</si>
  <si>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</si>
  <si>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</si>
  <si>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</si>
  <si>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</si>
  <si>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</si>
  <si>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</si>
  <si>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</si>
  <si>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</si>
  <si>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</si>
  <si>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</si>
  <si>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</si>
  <si>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</si>
  <si>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</si>
  <si>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</si>
  <si>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</si>
  <si>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</si>
  <si>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</si>
  <si>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</si>
  <si>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</si>
  <si>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</si>
  <si>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</si>
  <si>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</si>
  <si>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</si>
  <si>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</si>
  <si>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</si>
  <si>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</si>
  <si>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</si>
  <si>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</si>
  <si>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</si>
  <si>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</si>
  <si>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</si>
  <si>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</si>
  <si>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</si>
  <si>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</si>
  <si>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</si>
  <si>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</si>
  <si>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</si>
  <si>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</si>
  <si>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</si>
  <si>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</si>
  <si>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</si>
  <si>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</si>
  <si>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</si>
  <si>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</si>
  <si>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</si>
  <si>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</si>
  <si>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</si>
  <si>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</si>
  <si>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</si>
  <si>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</si>
  <si>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</si>
  <si>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</si>
  <si>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</si>
  <si>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</si>
  <si>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</si>
  <si>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</si>
  <si>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</si>
  <si>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</si>
  <si>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</si>
  <si>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</si>
  <si>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</si>
  <si>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</si>
  <si>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</si>
  <si>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</si>
  <si>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</si>
  <si>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</si>
  <si>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</si>
  <si>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</si>
  <si>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</si>
  <si>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</si>
  <si>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</si>
  <si>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</si>
  <si>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</si>
  <si>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</si>
  <si>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</si>
  <si>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</si>
  <si>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</si>
  <si>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</si>
  <si>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</si>
  <si>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</si>
  <si>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</si>
  <si>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</si>
  <si>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</si>
  <si>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</si>
  <si>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</si>
  <si>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</si>
  <si>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</si>
  <si>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</si>
  <si>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</si>
  <si>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</si>
  <si>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</si>
  <si>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</si>
  <si>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</si>
  <si>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</si>
  <si>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</si>
  <si>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</si>
  <si>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</si>
  <si>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</si>
  <si>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</si>
  <si>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</si>
  <si>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</si>
  <si>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</si>
  <si>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</si>
  <si>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</si>
  <si>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</si>
  <si>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</si>
  <si>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</si>
  <si>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</si>
  <si>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</si>
  <si>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</si>
  <si>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</si>
  <si>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</si>
  <si>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</si>
  <si>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</si>
  <si>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</si>
  <si>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</si>
  <si>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</si>
  <si>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</si>
  <si>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</si>
  <si>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</si>
  <si>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</si>
  <si>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</si>
  <si>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</si>
  <si>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</si>
  <si>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</si>
  <si>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</si>
  <si>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</si>
  <si>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</si>
  <si>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</si>
  <si>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</si>
  <si>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</si>
  <si>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</si>
  <si>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</si>
  <si>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</si>
  <si>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</si>
  <si>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</si>
  <si>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</si>
  <si>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</si>
  <si>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</si>
  <si>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</si>
  <si>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</si>
  <si>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</si>
  <si>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</si>
  <si>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</si>
  <si>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</si>
  <si>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</si>
  <si>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</si>
  <si>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</si>
  <si>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</si>
  <si>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</si>
  <si>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</si>
  <si>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</si>
  <si>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</si>
  <si>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</si>
  <si>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</si>
  <si>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</si>
  <si>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</si>
  <si>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</si>
  <si>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</si>
  <si>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</si>
  <si>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</si>
  <si>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</si>
  <si>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</si>
  <si>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</si>
  <si>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</si>
  <si>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</si>
  <si>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</si>
  <si>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</si>
  <si>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</si>
  <si>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</si>
  <si>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</si>
  <si>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</si>
  <si>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</si>
  <si>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</si>
  <si>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</si>
  <si>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</si>
  <si>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</si>
  <si>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</si>
  <si>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</si>
  <si>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</si>
  <si>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</si>
  <si>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</si>
  <si>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</si>
  <si>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</si>
  <si>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</si>
  <si>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</si>
  <si>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</si>
  <si>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</si>
  <si>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</si>
  <si>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</si>
  <si>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</si>
  <si>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</si>
  <si>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</si>
  <si>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</si>
  <si>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</si>
  <si>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</si>
  <si>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</si>
  <si>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</si>
  <si>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</si>
  <si>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</si>
  <si>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</si>
  <si>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</si>
  <si>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</si>
  <si>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</si>
  <si>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</si>
  <si>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</si>
  <si>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</si>
  <si>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</si>
  <si>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</si>
  <si>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</si>
  <si>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</si>
  <si>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</si>
  <si>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</si>
  <si>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</si>
  <si>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</si>
  <si>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</si>
  <si>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</si>
  <si>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</si>
  <si>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</si>
  <si>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</si>
  <si>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</si>
  <si>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</si>
  <si>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</si>
  <si>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</si>
  <si>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</si>
  <si>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</si>
  <si>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</si>
  <si>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</si>
  <si>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</si>
  <si>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</si>
  <si>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</si>
  <si>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</si>
  <si>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</si>
  <si>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</si>
  <si>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</si>
  <si>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</si>
  <si>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</si>
  <si>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</si>
  <si>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</si>
  <si>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</si>
  <si>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</si>
  <si>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</si>
  <si>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</si>
  <si>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</si>
  <si>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</si>
  <si>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</si>
  <si>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</si>
  <si>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</si>
  <si>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</si>
  <si>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</si>
  <si>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</si>
  <si>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</si>
  <si>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</si>
  <si>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</si>
  <si>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</si>
  <si>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</si>
  <si>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</si>
  <si>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</si>
  <si>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</si>
  <si>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</si>
  <si>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</si>
  <si>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</si>
  <si>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</si>
  <si>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</si>
  <si>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</si>
  <si>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</si>
  <si>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</si>
  <si>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</si>
  <si>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</si>
  <si>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</si>
  <si>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</si>
  <si>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</si>
  <si>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</si>
  <si>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</si>
  <si>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</si>
  <si>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</si>
  <si>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</si>
  <si>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</si>
  <si>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</si>
  <si>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</si>
  <si>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</si>
  <si>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</si>
  <si>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</si>
  <si>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</si>
  <si>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</si>
  <si>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</si>
  <si>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</si>
  <si>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</si>
  <si>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</si>
  <si>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</si>
  <si>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</si>
  <si>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</si>
  <si>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</si>
  <si>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</si>
  <si>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</si>
  <si>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</si>
  <si>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</si>
  <si>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</si>
  <si>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</si>
  <si>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</si>
  <si>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</si>
  <si>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</si>
  <si>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</si>
  <si>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</si>
  <si>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</si>
  <si>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</si>
  <si>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</si>
  <si>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</si>
  <si>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</si>
  <si>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</si>
  <si>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</si>
  <si>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</si>
  <si>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</si>
  <si>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</si>
  <si>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</si>
  <si>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</si>
  <si>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</si>
  <si>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</si>
  <si>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</si>
  <si>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</si>
  <si>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</si>
  <si>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</si>
  <si>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</si>
  <si>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</si>
  <si>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</si>
  <si>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</si>
  <si>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</si>
  <si>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</si>
  <si>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</si>
  <si>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</si>
  <si>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</si>
  <si>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</si>
  <si>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</si>
  <si>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</si>
  <si>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</si>
  <si>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</si>
  <si>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</si>
  <si>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</si>
  <si>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</si>
  <si>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</si>
  <si>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</si>
  <si>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</si>
  <si>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</si>
  <si>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</si>
  <si>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</si>
  <si>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</si>
  <si>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</si>
  <si>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</si>
  <si>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</si>
  <si>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</si>
  <si>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</si>
  <si>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</si>
  <si>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</si>
  <si>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</si>
  <si>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</si>
  <si>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</si>
  <si>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</si>
  <si>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</si>
  <si>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</si>
  <si>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</si>
  <si>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</si>
  <si>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</si>
  <si>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</si>
  <si>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</si>
  <si>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</si>
  <si>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</si>
  <si>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</si>
  <si>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</si>
  <si>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</si>
  <si>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</si>
  <si>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</si>
  <si>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</si>
  <si>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</si>
  <si>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</si>
  <si>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</si>
  <si>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</si>
  <si>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</si>
  <si>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</si>
  <si>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</si>
  <si>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</si>
  <si>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</si>
  <si>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</si>
  <si>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</si>
  <si>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</si>
  <si>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</si>
  <si>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</si>
  <si>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</si>
  <si>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</si>
  <si>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</si>
  <si>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</si>
  <si>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</si>
  <si>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</si>
  <si>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</si>
  <si>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</si>
  <si>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</si>
  <si>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</si>
  <si>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</si>
  <si>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</si>
  <si>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</si>
  <si>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</si>
  <si>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</si>
  <si>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</si>
  <si>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</si>
  <si>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</si>
  <si>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</si>
  <si>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</si>
  <si>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</si>
  <si>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</si>
  <si>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</si>
  <si>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</si>
  <si>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</si>
  <si>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</si>
  <si>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</si>
  <si>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</si>
  <si>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</si>
  <si>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</si>
  <si>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</si>
  <si>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</si>
  <si>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</si>
  <si>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</si>
  <si>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</si>
  <si>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</si>
  <si>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</si>
  <si>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</si>
  <si>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</si>
  <si>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</si>
  <si>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</si>
  <si>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</si>
  <si>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</si>
  <si>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</si>
  <si>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</si>
  <si>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</si>
  <si>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</si>
  <si>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</si>
  <si>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</si>
  <si>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</si>
  <si>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</si>
  <si>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</si>
  <si>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</si>
  <si>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</si>
  <si>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</si>
  <si>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</si>
  <si>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</si>
  <si>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</si>
  <si>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</si>
  <si>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</si>
  <si>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</si>
  <si>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</si>
  <si>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</si>
  <si>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</si>
  <si>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</si>
  <si>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</si>
  <si>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</si>
  <si>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</si>
  <si>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</si>
  <si>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</si>
  <si>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</si>
  <si>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</si>
  <si>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</si>
  <si>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</si>
  <si>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</si>
  <si>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</si>
  <si>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</si>
  <si>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</si>
  <si>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</si>
  <si>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</si>
  <si>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</si>
  <si>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</si>
  <si>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</si>
  <si>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</si>
  <si>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</si>
  <si>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</si>
  <si>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</si>
  <si>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</si>
  <si>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</si>
  <si>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</si>
  <si>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</si>
  <si>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</si>
  <si>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</si>
  <si>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</si>
  <si>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</si>
  <si>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</si>
  <si>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</si>
  <si>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</si>
  <si>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</si>
  <si>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</si>
  <si>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</si>
  <si>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</si>
  <si>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</si>
  <si>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</si>
  <si>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</si>
  <si>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</si>
  <si>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</si>
  <si>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</si>
  <si>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</si>
  <si>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</si>
  <si>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</si>
  <si>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</si>
  <si>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</si>
  <si>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</si>
  <si>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</si>
  <si>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</si>
  <si>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</si>
  <si>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</si>
  <si>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</si>
  <si>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</si>
  <si>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</si>
  <si>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</si>
  <si>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</si>
  <si>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</si>
  <si>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</si>
  <si>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</si>
  <si>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</si>
  <si>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</si>
  <si>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</si>
  <si>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</si>
  <si>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</si>
  <si>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</si>
  <si>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</si>
  <si>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</si>
  <si>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</si>
  <si>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</si>
  <si>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</si>
  <si>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</si>
  <si>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</si>
  <si>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</si>
  <si>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</si>
  <si>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</si>
  <si>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</si>
  <si>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</si>
  <si>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</si>
  <si>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</si>
  <si>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</si>
  <si>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</si>
  <si>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</si>
  <si>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</si>
  <si>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</si>
  <si>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</si>
  <si>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</si>
  <si>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</si>
  <si>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</si>
  <si>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</si>
  <si>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</si>
  <si>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</si>
  <si>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</si>
  <si>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</si>
  <si>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</si>
  <si>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</si>
  <si>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</si>
  <si>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</si>
  <si>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</si>
  <si>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</si>
  <si>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</si>
  <si>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</si>
  <si>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</si>
  <si>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</si>
  <si>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</si>
  <si>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</si>
  <si>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</si>
  <si>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</si>
  <si>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</si>
  <si>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</si>
  <si>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</si>
  <si>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</si>
  <si>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</si>
  <si>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</si>
  <si>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</si>
  <si>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</si>
  <si>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</si>
  <si>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</si>
  <si>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</si>
  <si>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</si>
  <si>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</si>
  <si>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</si>
  <si>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</si>
  <si>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</si>
  <si>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</si>
  <si>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</si>
  <si>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</si>
  <si>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</si>
  <si>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</si>
  <si>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</si>
  <si>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</si>
  <si>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</si>
  <si>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</si>
  <si>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</si>
  <si>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</si>
  <si>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</si>
  <si>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</si>
  <si>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</si>
  <si>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</si>
  <si>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</si>
  <si>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</si>
  <si>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</si>
  <si>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</si>
  <si>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</si>
  <si>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</si>
  <si>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</si>
  <si>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</si>
  <si>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</si>
  <si>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</si>
  <si>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</si>
  <si>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</si>
  <si>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</si>
  <si>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</si>
  <si>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</si>
  <si>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</si>
  <si>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</si>
  <si>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</si>
  <si>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</si>
  <si>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</si>
  <si>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</si>
  <si>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</si>
  <si>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</si>
  <si>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</si>
  <si>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</si>
  <si>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</si>
  <si>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</si>
  <si>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</si>
  <si>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</si>
  <si>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</si>
  <si>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</si>
  <si>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</si>
  <si>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</si>
  <si>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</si>
  <si>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</si>
  <si>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</si>
  <si>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</si>
  <si>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</si>
  <si>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</si>
  <si>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</si>
  <si>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</si>
  <si>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</si>
  <si>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</si>
  <si>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</si>
  <si>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</si>
  <si>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</si>
  <si>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</si>
  <si>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</si>
  <si>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</si>
  <si>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</si>
  <si>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</si>
  <si>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</si>
  <si>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</si>
  <si>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</si>
  <si>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</si>
  <si>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</si>
  <si>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</si>
  <si>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</si>
  <si>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</si>
  <si>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</si>
  <si>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</si>
  <si>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</si>
  <si>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</si>
  <si>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</si>
  <si>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</si>
  <si>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</si>
  <si>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</si>
  <si>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</si>
  <si>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</si>
  <si>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</si>
  <si>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</si>
  <si>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</si>
  <si>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</si>
  <si>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</si>
  <si>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</si>
  <si>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</si>
  <si>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</si>
  <si>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</si>
  <si>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</si>
  <si>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</si>
  <si>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</si>
  <si>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</si>
  <si>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</si>
  <si>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</si>
  <si>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</si>
  <si>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</si>
  <si>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</si>
  <si>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</si>
  <si>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</si>
  <si>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</si>
  <si>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</si>
  <si>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</si>
  <si>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</si>
  <si>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</si>
  <si>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</si>
  <si>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</si>
  <si>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</si>
  <si>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</si>
  <si>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</si>
  <si>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</si>
  <si>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</si>
  <si>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</si>
  <si>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</si>
  <si>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</si>
  <si>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</si>
  <si>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</si>
  <si>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</si>
  <si>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</si>
  <si>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</si>
  <si>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</si>
  <si>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</si>
  <si>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</si>
  <si>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</si>
  <si>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</si>
  <si>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</si>
  <si>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</si>
  <si>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</si>
  <si>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</si>
  <si>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</si>
  <si>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</si>
  <si>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</si>
  <si>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</si>
  <si>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</si>
  <si>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</si>
  <si>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</si>
  <si>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</si>
  <si>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</si>
  <si>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</si>
  <si>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</si>
  <si>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</si>
  <si>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</si>
  <si>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</si>
  <si>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</si>
  <si>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</si>
  <si>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</si>
  <si>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</si>
  <si>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</si>
  <si>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</si>
  <si>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</si>
  <si>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</si>
  <si>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</si>
  <si>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</si>
  <si>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</si>
  <si>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</si>
  <si>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</si>
  <si>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</si>
  <si>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</si>
  <si>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</si>
  <si>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</si>
  <si>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</si>
  <si>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</si>
  <si>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</si>
  <si>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</si>
  <si>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</si>
  <si>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</si>
  <si>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</si>
  <si>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</si>
  <si>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</si>
  <si>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</si>
  <si>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</si>
  <si>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</si>
  <si>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</si>
  <si>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</si>
  <si>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</si>
  <si>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</si>
  <si>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</si>
  <si>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</si>
  <si>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</si>
  <si>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</si>
  <si>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</si>
  <si>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</si>
  <si>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</si>
  <si>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</si>
  <si>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</si>
  <si>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</si>
  <si>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</si>
  <si>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</si>
  <si>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</si>
  <si>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</si>
  <si>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</si>
  <si>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</si>
  <si>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</si>
  <si>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</si>
  <si>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</si>
  <si>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</si>
  <si>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</si>
  <si>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</si>
  <si>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</si>
  <si>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</si>
  <si>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</si>
  <si>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</si>
  <si>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</si>
  <si>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</si>
  <si>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</si>
  <si>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</si>
  <si>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</si>
  <si>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</si>
  <si>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</si>
  <si>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</si>
  <si>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</si>
  <si>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</si>
  <si>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</si>
  <si>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</si>
  <si>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</si>
  <si>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</si>
  <si>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</si>
  <si>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</si>
  <si>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</si>
  <si>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</si>
  <si>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</si>
  <si>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</si>
  <si>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</si>
  <si>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</si>
  <si>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</si>
  <si>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</si>
  <si>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</si>
  <si>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</si>
  <si>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</si>
  <si>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</si>
  <si>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</si>
  <si>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</si>
  <si>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</si>
  <si>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</si>
  <si>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</si>
  <si>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</si>
  <si>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</si>
  <si>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</si>
  <si>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</si>
  <si>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</si>
  <si>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</si>
  <si>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</si>
  <si>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</si>
  <si>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</si>
  <si>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</si>
  <si>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</si>
  <si>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</si>
  <si>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</si>
  <si>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</si>
  <si>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</si>
  <si>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</si>
  <si>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</si>
  <si>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</si>
  <si>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</si>
  <si>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</si>
  <si>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</si>
  <si>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</si>
  <si>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</si>
  <si>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</si>
  <si>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</si>
  <si>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</si>
  <si>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</si>
  <si>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</si>
  <si>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</si>
  <si>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</si>
  <si>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</si>
  <si>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</si>
  <si>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</si>
  <si>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</si>
  <si>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</si>
  <si>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</si>
  <si>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</si>
  <si>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</si>
  <si>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</si>
  <si>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</si>
  <si>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</si>
  <si>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</si>
  <si>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</si>
  <si>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</si>
  <si>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</si>
  <si>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</si>
  <si>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</si>
  <si>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</si>
  <si>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</si>
  <si>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</si>
  <si>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</si>
  <si>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</si>
  <si>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</si>
  <si>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</si>
  <si>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</si>
  <si>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</si>
  <si>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</si>
  <si>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</si>
  <si>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</si>
  <si>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</si>
  <si>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</si>
  <si>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</si>
  <si>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</si>
  <si>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</si>
  <si>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</si>
  <si>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</si>
  <si>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</si>
  <si>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</si>
  <si>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</si>
  <si>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</si>
  <si>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</si>
  <si>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</si>
  <si>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</si>
  <si>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</si>
  <si>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</si>
  <si>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</si>
  <si>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</si>
  <si>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</si>
  <si>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</si>
  <si>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</si>
  <si>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</si>
  <si>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</si>
  <si>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</si>
  <si>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</si>
  <si>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</si>
  <si>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</si>
  <si>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</si>
  <si>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</si>
  <si>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</si>
  <si>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</si>
  <si>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</si>
  <si>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</si>
  <si>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</si>
  <si>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</si>
  <si>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</si>
  <si>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</si>
  <si>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</si>
  <si>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</si>
  <si>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</si>
  <si>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</si>
  <si>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</si>
  <si>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</si>
  <si>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</si>
  <si>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</si>
  <si>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</si>
  <si>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</si>
  <si>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</si>
  <si>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</si>
  <si>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</si>
  <si>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</si>
  <si>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</si>
  <si>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</si>
  <si>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</si>
  <si>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</si>
  <si>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</si>
  <si>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</si>
  <si>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</si>
  <si>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</si>
  <si>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</si>
  <si>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</si>
  <si>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</si>
  <si>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</si>
  <si>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</si>
  <si>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</si>
  <si>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</si>
  <si>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</si>
  <si>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</si>
  <si>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</si>
  <si>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</si>
  <si>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</si>
  <si>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</si>
  <si>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</si>
  <si>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</si>
  <si>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</si>
  <si>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</si>
  <si>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</si>
  <si>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</si>
  <si>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</si>
  <si>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</si>
  <si>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</si>
  <si>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</si>
  <si>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</si>
  <si>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</si>
  <si>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</si>
  <si>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</si>
  <si>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</si>
  <si>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</si>
  <si>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</si>
  <si>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</si>
  <si>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</si>
  <si>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</si>
  <si>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</si>
  <si>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</si>
  <si>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</si>
  <si>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</si>
  <si>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</si>
  <si>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</si>
  <si>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</si>
  <si>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</si>
  <si>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</si>
  <si>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</si>
  <si>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</si>
  <si>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</si>
  <si>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</si>
  <si>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</si>
  <si>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</si>
  <si>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</si>
  <si>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</si>
  <si>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</si>
  <si>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</si>
  <si>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</si>
  <si>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</si>
  <si>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</si>
  <si>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</si>
  <si>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</si>
  <si>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</si>
  <si>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</si>
  <si>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</si>
  <si>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</si>
  <si>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</si>
  <si>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</si>
  <si>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</si>
  <si>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</si>
  <si>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</si>
  <si>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</si>
  <si>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</si>
  <si>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</si>
  <si>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</si>
  <si>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</si>
  <si>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</si>
  <si>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</si>
  <si>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</si>
  <si>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</si>
  <si>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</si>
  <si>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</si>
  <si>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</si>
  <si>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</si>
  <si>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</si>
  <si>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</si>
  <si>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</si>
  <si>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</si>
  <si>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</si>
  <si>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</si>
  <si>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</si>
  <si>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</si>
  <si>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</si>
  <si>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</si>
  <si>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</si>
  <si>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</si>
  <si>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</si>
  <si>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</si>
  <si>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</si>
  <si>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</si>
  <si>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</si>
  <si>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</si>
  <si>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</si>
  <si>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</si>
  <si>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</si>
  <si>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</si>
  <si>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</si>
  <si>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</si>
  <si>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</si>
  <si>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</si>
  <si>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</si>
  <si>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</si>
  <si>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</si>
  <si>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</si>
  <si>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</si>
  <si>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</si>
  <si>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</si>
  <si>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</si>
  <si>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</si>
  <si>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</si>
  <si>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</si>
  <si>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</si>
  <si>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</si>
  <si>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</si>
  <si>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</si>
  <si>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</si>
  <si>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</si>
  <si>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</si>
  <si>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</si>
  <si>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</si>
  <si>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</si>
  <si>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</si>
  <si>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</si>
  <si>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</si>
  <si>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</si>
  <si>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</si>
  <si>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</si>
  <si>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</si>
  <si>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</si>
  <si>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</si>
  <si>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</si>
  <si>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</si>
  <si>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</si>
  <si>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</si>
  <si>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</si>
  <si>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</si>
  <si>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</si>
  <si>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</si>
  <si>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</si>
  <si>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</si>
  <si>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</si>
  <si>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</si>
  <si>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</si>
  <si>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</si>
  <si>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</si>
  <si>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</si>
  <si>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</si>
  <si>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</si>
  <si>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</si>
  <si>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</si>
  <si>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</si>
  <si>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</si>
  <si>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</si>
  <si>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</si>
  <si>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</si>
  <si>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</si>
  <si>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</si>
  <si>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</si>
  <si>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</si>
  <si>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</si>
  <si>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</si>
  <si>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</si>
  <si>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</si>
  <si>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</si>
  <si>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</si>
  <si>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</si>
  <si>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</si>
  <si>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</si>
  <si>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</si>
  <si>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</si>
  <si>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</si>
  <si>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</si>
  <si>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</si>
  <si>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</si>
  <si>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</si>
  <si>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</si>
  <si>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</si>
  <si>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</si>
  <si>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</si>
  <si>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</si>
  <si>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</si>
  <si>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</si>
  <si>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</si>
  <si>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</si>
  <si>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</si>
  <si>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</si>
  <si>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</si>
  <si>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</si>
  <si>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</si>
  <si>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</si>
  <si>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</si>
  <si>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</si>
  <si>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</si>
  <si>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</si>
  <si>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</si>
  <si>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</si>
  <si>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</si>
  <si>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</si>
  <si>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</si>
  <si>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</si>
  <si>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</si>
  <si>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</si>
  <si>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</si>
  <si>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</si>
  <si>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</si>
  <si>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</si>
  <si>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</si>
  <si>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</si>
  <si>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</si>
  <si>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</si>
  <si>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</si>
  <si>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</si>
  <si>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</si>
  <si>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</si>
  <si>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</si>
  <si>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</si>
  <si>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</si>
  <si>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</si>
  <si>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</si>
  <si>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</si>
  <si>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</si>
  <si>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</si>
  <si>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</si>
  <si>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</si>
  <si>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</si>
  <si>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</si>
  <si>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</si>
  <si>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</si>
  <si>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</si>
  <si>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</si>
  <si>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</si>
  <si>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</si>
  <si>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</si>
  <si>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</si>
  <si>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</si>
  <si>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</si>
  <si>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</si>
  <si>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</si>
  <si>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</si>
  <si>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</si>
  <si>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</si>
  <si>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</si>
  <si>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</si>
  <si>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</si>
  <si>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</si>
  <si>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</si>
  <si>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</si>
  <si>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</si>
  <si>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</si>
  <si>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</si>
  <si>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</si>
  <si>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</si>
  <si>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</si>
  <si>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</si>
  <si>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</si>
  <si>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</si>
  <si>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</si>
  <si>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</si>
  <si>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</si>
  <si>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</si>
  <si>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</si>
  <si>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</si>
  <si>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</si>
  <si>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</si>
  <si>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</si>
  <si>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</si>
  <si>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</si>
  <si>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</si>
  <si>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</si>
  <si>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</si>
  <si>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</si>
  <si>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</si>
  <si>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</si>
  <si>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</si>
  <si>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</si>
  <si>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</si>
  <si>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</si>
  <si>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</si>
  <si>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</si>
  <si>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</si>
  <si>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</si>
  <si>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</si>
  <si>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</si>
  <si>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</si>
  <si>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</si>
  <si>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</si>
  <si>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</si>
  <si>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</si>
  <si>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</si>
  <si>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</si>
  <si>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</si>
  <si>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</si>
  <si>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</si>
  <si>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</si>
  <si>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</si>
  <si>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</si>
  <si>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</si>
  <si>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</si>
  <si>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</si>
  <si>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</si>
  <si>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</si>
  <si>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</si>
  <si>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</si>
  <si>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</si>
  <si>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</si>
  <si>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</si>
  <si>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</si>
  <si>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</si>
  <si>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</si>
  <si>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</si>
  <si>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</si>
  <si>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</si>
  <si>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</si>
  <si>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</si>
  <si>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</si>
  <si>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</si>
  <si>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</si>
  <si>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</si>
  <si>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</si>
  <si>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</si>
  <si>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</si>
  <si>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</si>
  <si>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</si>
  <si>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</si>
  <si>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</si>
  <si>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</si>
  <si>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</si>
  <si>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</si>
  <si>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</si>
  <si>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</si>
  <si>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</si>
  <si>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</si>
  <si>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</si>
  <si>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</si>
  <si>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</si>
  <si>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</si>
  <si>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</si>
  <si>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</si>
  <si>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</si>
  <si>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</si>
  <si>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</si>
  <si>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</si>
  <si>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</si>
  <si>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</si>
  <si>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</si>
  <si>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</si>
  <si>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</si>
  <si>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</si>
  <si>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</si>
  <si>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</si>
  <si>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</si>
  <si>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</si>
  <si>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</si>
  <si>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</si>
  <si>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</si>
  <si>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</si>
  <si>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</si>
  <si>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</si>
  <si>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</si>
  <si>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</si>
  <si>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</si>
  <si>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</si>
  <si>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</si>
  <si>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</si>
  <si>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</si>
  <si>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</si>
  <si>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</si>
  <si>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</si>
  <si>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</si>
  <si>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</si>
  <si>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</si>
  <si>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</si>
  <si>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</si>
  <si>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</si>
  <si>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</si>
  <si>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</si>
  <si>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</si>
  <si>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</si>
  <si>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</si>
  <si>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</si>
  <si>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</si>
  <si>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</si>
  <si>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</si>
  <si>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</si>
  <si>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</si>
  <si>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</si>
  <si>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</si>
  <si>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</si>
  <si>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</si>
  <si>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</si>
  <si>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</si>
  <si>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</si>
  <si>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</si>
  <si>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</si>
  <si>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</si>
  <si>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</si>
  <si>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</si>
  <si>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</si>
  <si>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</si>
  <si>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</si>
  <si>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</si>
  <si>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</si>
  <si>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</si>
  <si>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</si>
  <si>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</si>
  <si>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</si>
  <si>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</si>
  <si>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</si>
  <si>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</si>
  <si>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</si>
  <si>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</si>
  <si>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</si>
  <si>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</si>
  <si>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</si>
  <si>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</si>
  <si>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</si>
  <si>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</si>
  <si>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</si>
  <si>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</si>
  <si>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</si>
  <si>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</si>
  <si>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</si>
  <si>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</si>
  <si>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</si>
  <si>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</si>
  <si>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</si>
  <si>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</si>
  <si>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</si>
  <si>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</si>
  <si>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</si>
  <si>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</si>
  <si>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</si>
  <si>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</si>
  <si>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</si>
  <si>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</si>
  <si>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</si>
  <si>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</si>
  <si>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</si>
  <si>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</si>
  <si>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</si>
  <si>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</si>
  <si>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</si>
  <si>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</si>
  <si>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</si>
  <si>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</si>
  <si>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</si>
  <si>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</si>
  <si>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</si>
  <si>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</si>
  <si>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</si>
  <si>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</si>
  <si>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</si>
  <si>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</si>
  <si>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</si>
  <si>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</si>
  <si>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</si>
  <si>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</si>
  <si>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</si>
  <si>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</si>
  <si>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</si>
  <si>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</si>
  <si>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</si>
  <si>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</si>
  <si>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</si>
  <si>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</si>
  <si>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</si>
  <si>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</si>
  <si>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</si>
  <si>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</si>
  <si>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</si>
  <si>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</si>
  <si>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</si>
  <si>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</si>
  <si>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</si>
  <si>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</si>
  <si>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</si>
  <si>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</si>
  <si>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</si>
  <si>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</si>
  <si>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</si>
  <si>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</si>
  <si>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</si>
  <si>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</si>
  <si>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</si>
  <si>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</si>
  <si>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</si>
  <si>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</si>
  <si>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</si>
  <si>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</si>
  <si>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</si>
  <si>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</si>
  <si>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</si>
  <si>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</si>
  <si>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</si>
  <si>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</si>
  <si>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</si>
  <si>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</si>
  <si>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</si>
  <si>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</si>
  <si>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</si>
  <si>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</si>
  <si>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</si>
  <si>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</si>
  <si>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</si>
  <si>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</si>
  <si>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</si>
  <si>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</si>
  <si>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</si>
  <si>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</si>
  <si>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</si>
  <si>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</si>
  <si>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</si>
  <si>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</si>
  <si>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</si>
  <si>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</si>
  <si>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</si>
  <si>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</si>
  <si>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</si>
  <si>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</si>
  <si>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</si>
  <si>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</si>
  <si>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</si>
  <si>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</si>
  <si>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</si>
  <si>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</si>
  <si>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</si>
  <si>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</si>
  <si>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</si>
  <si>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</si>
  <si>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</si>
  <si>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</si>
  <si>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</si>
  <si>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</si>
  <si>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</si>
  <si>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</si>
  <si>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</si>
  <si>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</si>
  <si>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</si>
  <si>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</si>
  <si>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</si>
  <si>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</si>
  <si>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</si>
  <si>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</si>
  <si>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</si>
  <si>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</si>
  <si>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</si>
  <si>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</si>
  <si>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</si>
  <si>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</si>
  <si>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</si>
  <si>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</si>
  <si>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</si>
  <si>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</si>
  <si>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</si>
  <si>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</si>
  <si>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</si>
  <si>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</si>
  <si>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</si>
  <si>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</si>
  <si>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</si>
  <si>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</si>
  <si>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</si>
  <si>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</si>
  <si>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</si>
  <si>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</si>
  <si>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</si>
  <si>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</si>
  <si>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</si>
  <si>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</si>
  <si>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</si>
  <si>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</si>
  <si>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</si>
  <si>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</si>
  <si>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</si>
  <si>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</si>
  <si>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</si>
  <si>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</si>
  <si>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</si>
  <si>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</si>
  <si>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</si>
  <si>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</si>
  <si>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</si>
  <si>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</si>
  <si>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</si>
  <si>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</si>
  <si>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</si>
  <si>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</si>
  <si>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</si>
  <si>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</si>
  <si>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</si>
  <si>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</si>
  <si>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</si>
  <si>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</si>
  <si>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</si>
  <si>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</si>
  <si>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</si>
  <si>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</si>
  <si>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</si>
  <si>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</si>
  <si>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</si>
  <si>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</si>
  <si>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</si>
  <si>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</si>
  <si>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</si>
  <si>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</si>
  <si>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</si>
  <si>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</si>
  <si>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</si>
  <si>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</si>
  <si>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</si>
  <si>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</si>
  <si>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</si>
  <si>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</si>
  <si>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</si>
  <si>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</si>
  <si>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</si>
  <si>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</si>
  <si>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</si>
  <si>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</si>
  <si>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</si>
  <si>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</si>
  <si>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</si>
  <si>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</si>
  <si>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</si>
  <si>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</si>
  <si>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</si>
  <si>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</si>
  <si>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</si>
  <si>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</si>
  <si>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</si>
  <si>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</si>
  <si>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</si>
  <si>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</si>
  <si>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</si>
  <si>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</si>
  <si>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</si>
  <si>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</si>
  <si>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</si>
  <si>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</si>
  <si>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</si>
  <si>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</si>
  <si>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</si>
  <si>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</si>
  <si>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</si>
  <si>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</si>
  <si>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</si>
  <si>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</si>
  <si>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</si>
  <si>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</si>
  <si>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</si>
  <si>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</si>
  <si>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</si>
  <si>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</si>
  <si>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</si>
  <si>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</si>
  <si>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</si>
  <si>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</si>
  <si>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</si>
  <si>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</si>
  <si>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</si>
  <si>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</si>
  <si>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</si>
  <si>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</si>
  <si>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</si>
  <si>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</si>
  <si>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</si>
  <si>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</si>
  <si>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</si>
  <si>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</si>
  <si>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</si>
  <si>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</si>
  <si>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</si>
  <si>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</si>
  <si>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</si>
  <si>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</si>
  <si>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</si>
  <si>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</si>
  <si>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</si>
  <si>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</si>
  <si>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</si>
  <si>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</si>
  <si>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</si>
  <si>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</si>
  <si>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</si>
  <si>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</si>
  <si>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</si>
  <si>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</si>
  <si>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</si>
  <si>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</si>
  <si>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</si>
  <si>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</si>
  <si>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</si>
  <si>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</si>
  <si>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</si>
  <si>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</si>
  <si>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</si>
  <si>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</si>
  <si>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</si>
  <si>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</si>
  <si>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</si>
  <si>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</si>
  <si>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</si>
  <si>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</si>
  <si>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</si>
  <si>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</si>
  <si>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</si>
  <si>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</si>
  <si>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</si>
  <si>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</si>
  <si>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</si>
  <si>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</si>
  <si>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</si>
  <si>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</si>
  <si>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</si>
  <si>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</si>
  <si>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</si>
  <si>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</si>
  <si>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</si>
  <si>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</si>
  <si>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</si>
  <si>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</si>
  <si>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</si>
  <si>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</si>
  <si>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</si>
  <si>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</si>
  <si>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</si>
  <si>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</si>
  <si>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</si>
  <si>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</si>
  <si>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</si>
  <si>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</si>
  <si>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</si>
  <si>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</si>
  <si>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</si>
  <si>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</si>
  <si>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</si>
  <si>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</si>
  <si>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</si>
  <si>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</si>
  <si>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</si>
  <si>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</si>
  <si>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</si>
  <si>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</si>
  <si>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</si>
  <si>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</si>
  <si>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</si>
  <si>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</si>
  <si>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</si>
  <si>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</si>
  <si>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</si>
  <si>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</si>
  <si>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</si>
  <si>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</si>
  <si>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</si>
  <si>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</si>
  <si>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</si>
  <si>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</si>
  <si>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</si>
  <si>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</si>
  <si>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</si>
  <si>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</si>
  <si>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</si>
  <si>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</si>
  <si>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</si>
  <si>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</si>
  <si>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</si>
  <si>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</si>
  <si>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</si>
  <si>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</si>
  <si>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</si>
  <si>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</si>
  <si>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</si>
  <si>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</si>
  <si>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</si>
  <si>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</si>
  <si>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</si>
  <si>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</si>
  <si>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</si>
  <si>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</si>
  <si>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</si>
  <si>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</si>
  <si>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</si>
  <si>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</si>
  <si>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</si>
  <si>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</si>
  <si>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</si>
  <si>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</si>
  <si>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</si>
  <si>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</si>
  <si>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</si>
  <si>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</si>
  <si>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</si>
  <si>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</si>
  <si>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</si>
  <si>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</si>
  <si>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</si>
  <si>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</si>
  <si>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</si>
  <si>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</si>
  <si>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</si>
  <si>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</si>
  <si>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</si>
  <si>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</si>
  <si>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</si>
  <si>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</si>
  <si>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</si>
  <si>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</si>
  <si>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</si>
  <si>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</si>
  <si>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</si>
  <si>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</si>
  <si>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</si>
  <si>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</si>
  <si>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</si>
  <si>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</si>
  <si>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</si>
  <si>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</si>
  <si>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</si>
  <si>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</si>
  <si>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</si>
  <si>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</si>
  <si>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</si>
  <si>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</si>
  <si>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</si>
  <si>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</si>
  <si>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</si>
  <si>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</si>
  <si>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</si>
  <si>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</si>
  <si>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</si>
  <si>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</si>
  <si>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</si>
  <si>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</si>
  <si>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</si>
  <si>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</si>
  <si>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</si>
  <si>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</si>
  <si>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</si>
  <si>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</si>
  <si>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</si>
  <si>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</si>
  <si>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</si>
  <si>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</si>
  <si>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</si>
  <si>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</si>
  <si>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</si>
  <si>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</si>
  <si>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</si>
  <si>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</si>
  <si>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</si>
  <si>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</si>
  <si>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</si>
  <si>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</si>
  <si>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</si>
  <si>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</si>
  <si>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</si>
  <si>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</si>
  <si>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</si>
  <si>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</si>
  <si>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</si>
  <si>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</si>
  <si>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</si>
  <si>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</si>
  <si>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</si>
  <si>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</si>
  <si>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</si>
  <si>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</si>
  <si>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</si>
  <si>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</si>
  <si>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</si>
  <si>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</si>
  <si>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</si>
  <si>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</si>
  <si>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</si>
  <si>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</si>
  <si>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</si>
  <si>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</si>
  <si>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</si>
  <si>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</si>
  <si>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</si>
  <si>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</si>
  <si>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</si>
  <si>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</si>
  <si>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</si>
  <si>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</si>
  <si>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</si>
  <si>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</si>
  <si>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</si>
  <si>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</si>
  <si>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</si>
  <si>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</si>
  <si>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</si>
  <si>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</si>
  <si>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</si>
  <si>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</si>
  <si>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</si>
  <si>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</si>
  <si>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</si>
  <si>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</si>
  <si>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</si>
  <si>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</si>
  <si>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</si>
  <si>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</si>
  <si>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</si>
  <si>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</si>
  <si>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</si>
  <si>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</si>
  <si>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</si>
  <si>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</si>
  <si>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</si>
  <si>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</si>
  <si>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</si>
  <si>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</si>
  <si>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</si>
  <si>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</si>
  <si>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</si>
  <si>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</si>
  <si>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</si>
  <si>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</si>
  <si>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</si>
  <si>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</si>
  <si>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</si>
  <si>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</si>
  <si>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</si>
  <si>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</si>
  <si>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</si>
  <si>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</si>
  <si>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</si>
  <si>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</si>
  <si>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</si>
  <si>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</si>
  <si>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</si>
  <si>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</si>
  <si>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</si>
  <si>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</si>
  <si>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</si>
  <si>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</si>
  <si>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</si>
  <si>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</si>
  <si>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</si>
  <si>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</si>
  <si>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</si>
  <si>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</si>
  <si>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</si>
  <si>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</si>
  <si>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</si>
  <si>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</si>
  <si>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</si>
  <si>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</si>
  <si>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</si>
  <si>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</si>
  <si>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</si>
  <si>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</si>
  <si>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</si>
  <si>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</si>
  <si>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</si>
  <si>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</si>
  <si>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</si>
  <si>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</si>
  <si>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</si>
  <si>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</si>
  <si>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</si>
  <si>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</si>
  <si>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</si>
  <si>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</si>
  <si>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</si>
  <si>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</si>
  <si>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</si>
  <si>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</si>
  <si>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</si>
  <si>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</si>
  <si>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</si>
  <si>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</si>
  <si>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</si>
  <si>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</si>
  <si>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</si>
  <si>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</si>
  <si>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</si>
  <si>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</si>
  <si>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</si>
  <si>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</si>
  <si>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</si>
  <si>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</si>
  <si>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</si>
  <si>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</si>
  <si>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</si>
  <si>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</si>
  <si>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</si>
  <si>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</si>
  <si>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</si>
  <si>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</si>
  <si>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</si>
  <si>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</si>
  <si>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</si>
  <si>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</si>
  <si>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</si>
  <si>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</si>
  <si>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</si>
  <si>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</si>
  <si>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</si>
  <si>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</si>
  <si>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</si>
  <si>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</si>
  <si>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</si>
  <si>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</si>
  <si>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</si>
  <si>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</si>
  <si>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</si>
  <si>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</si>
  <si>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</si>
  <si>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</si>
  <si>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</si>
  <si>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</si>
  <si>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</si>
  <si>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</si>
  <si>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</si>
  <si>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</si>
  <si>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</si>
  <si>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</si>
  <si>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</si>
  <si>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</si>
  <si>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</si>
  <si>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</si>
  <si>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</si>
  <si>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</si>
  <si>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</si>
  <si>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</si>
  <si>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</si>
  <si>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</si>
  <si>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</si>
  <si>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</si>
  <si>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</si>
  <si>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</si>
  <si>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</si>
  <si>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</si>
  <si>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</si>
  <si>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</si>
  <si>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</si>
  <si>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</si>
  <si>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</si>
  <si>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</si>
  <si>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</si>
  <si>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</si>
  <si>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</si>
  <si>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</si>
  <si>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</si>
  <si>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</si>
  <si>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</si>
  <si>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</si>
  <si>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</si>
  <si>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</si>
  <si>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</si>
  <si>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</si>
  <si>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</si>
  <si>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</si>
  <si>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</si>
  <si>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</si>
  <si>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</si>
  <si>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</si>
  <si>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</si>
  <si>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</si>
  <si>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</si>
  <si>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</si>
  <si>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</si>
  <si>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</si>
  <si>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</si>
  <si>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</si>
  <si>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</si>
  <si>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</si>
  <si>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</si>
  <si>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</si>
  <si>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</si>
  <si>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</si>
  <si>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</si>
  <si>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</si>
  <si>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</si>
  <si>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</si>
  <si>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</si>
  <si>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</si>
  <si>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</si>
  <si>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</si>
  <si>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</si>
  <si>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</si>
  <si>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</si>
  <si>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</si>
  <si>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</si>
  <si>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</si>
  <si>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</si>
  <si>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</si>
  <si>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</si>
  <si>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</si>
  <si>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</si>
  <si>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</si>
  <si>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</si>
  <si>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</si>
  <si>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</si>
  <si>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</si>
  <si>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</si>
  <si>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</si>
  <si>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</si>
  <si>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</si>
  <si>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</si>
  <si>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</si>
  <si>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</si>
  <si>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</si>
  <si>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</si>
  <si>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</si>
  <si>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</si>
  <si>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</si>
  <si>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</si>
  <si>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</si>
  <si>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</si>
  <si>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</si>
  <si>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</si>
  <si>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</si>
  <si>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</si>
  <si>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</si>
  <si>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</si>
  <si>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</si>
  <si>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</si>
  <si>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</si>
  <si>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</si>
  <si>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</si>
  <si>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</si>
  <si>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</si>
  <si>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</si>
  <si>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</si>
  <si>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</si>
  <si>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</si>
  <si>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</si>
  <si>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</si>
  <si>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</si>
  <si>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</si>
  <si>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</si>
  <si>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</si>
  <si>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</si>
  <si>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</si>
  <si>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</si>
  <si>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</si>
  <si>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</si>
  <si>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</si>
  <si>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</si>
  <si>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</si>
  <si>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</si>
  <si>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</si>
  <si>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</si>
  <si>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</si>
  <si>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</si>
  <si>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</si>
  <si>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</si>
  <si>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</si>
  <si>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</si>
  <si>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</si>
  <si>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</si>
  <si>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</si>
  <si>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</si>
  <si>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</si>
  <si>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</si>
  <si>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</si>
  <si>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</si>
  <si>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</si>
  <si>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</si>
  <si>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</si>
  <si>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</si>
  <si>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</si>
  <si>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</si>
  <si>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</si>
  <si>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</si>
  <si>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</si>
  <si>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</si>
  <si>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</si>
  <si>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</si>
  <si>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</si>
  <si>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</si>
  <si>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</si>
  <si>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</si>
  <si>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</si>
  <si>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</si>
  <si>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</si>
  <si>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</si>
  <si>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</si>
  <si>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</si>
  <si>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</si>
  <si>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</si>
  <si>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</si>
  <si>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</si>
  <si>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</si>
  <si>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</si>
  <si>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</si>
  <si>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</si>
  <si>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</si>
  <si>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</si>
  <si>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</si>
  <si>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</si>
  <si>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</si>
  <si>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</si>
  <si>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</si>
  <si>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</si>
  <si>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</si>
  <si>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</si>
  <si>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</si>
  <si>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</si>
  <si>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</si>
  <si>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</si>
  <si>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</si>
  <si>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</si>
  <si>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</si>
  <si>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</si>
  <si>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</si>
  <si>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</si>
  <si>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</si>
  <si>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</si>
  <si>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</si>
  <si>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</si>
  <si>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</si>
  <si>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</si>
  <si>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</si>
  <si>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</si>
  <si>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</si>
  <si>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</si>
  <si>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</si>
  <si>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</si>
  <si>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</si>
  <si>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</si>
  <si>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</si>
  <si>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</si>
  <si>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</si>
  <si>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</si>
  <si>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</si>
  <si>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</si>
  <si>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</si>
  <si>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</si>
  <si>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</si>
  <si>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</si>
  <si>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</si>
  <si>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</si>
  <si>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</si>
  <si>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</si>
  <si>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</si>
  <si>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</si>
  <si>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</si>
  <si>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</si>
  <si>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</si>
  <si>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</si>
  <si>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</si>
  <si>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</si>
  <si>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</si>
  <si>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</si>
  <si>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</si>
  <si>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</si>
  <si>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</si>
  <si>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</si>
  <si>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</si>
  <si>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</si>
  <si>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</si>
  <si>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</si>
  <si>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</si>
  <si>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</si>
  <si>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</si>
  <si>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</si>
  <si>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</si>
  <si>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</si>
  <si>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</si>
  <si>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</si>
  <si>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</si>
  <si>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</si>
  <si>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</si>
  <si>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</si>
  <si>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</si>
  <si>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</si>
  <si>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</si>
  <si>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</si>
  <si>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</si>
  <si>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</si>
  <si>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</si>
  <si>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</si>
  <si>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</si>
  <si>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</si>
  <si>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</si>
  <si>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</si>
  <si>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</si>
  <si>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</si>
  <si>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</si>
  <si>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</si>
  <si>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</si>
  <si>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</si>
  <si>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</si>
  <si>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</si>
  <si>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</si>
  <si>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</si>
  <si>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</si>
  <si>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</si>
  <si>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</si>
  <si>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</si>
  <si>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</si>
  <si>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</si>
  <si>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</si>
  <si>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</si>
  <si>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</si>
  <si>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</si>
  <si>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</si>
  <si>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</si>
  <si>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</si>
  <si>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</si>
  <si>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</si>
  <si>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</si>
  <si>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</si>
  <si>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</si>
  <si>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</si>
  <si>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</si>
  <si>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</si>
  <si>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</si>
  <si>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</si>
  <si>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</si>
  <si>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</si>
  <si>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</si>
  <si>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</si>
  <si>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</si>
  <si>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</si>
  <si>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</si>
  <si>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</si>
  <si>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</si>
  <si>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</si>
  <si>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</si>
  <si>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</si>
  <si>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</si>
  <si>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</si>
  <si>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</si>
  <si>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</si>
  <si>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</si>
  <si>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</si>
  <si>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</si>
  <si>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</si>
  <si>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</si>
  <si>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</si>
  <si>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</si>
  <si>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</si>
  <si>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</si>
  <si>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</si>
  <si>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</si>
  <si>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</si>
  <si>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</si>
  <si>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</si>
  <si>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</si>
  <si>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</si>
  <si>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</si>
  <si>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</si>
  <si>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</si>
  <si>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</si>
  <si>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</si>
  <si>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</si>
  <si>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</si>
  <si>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</si>
  <si>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</si>
  <si>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</si>
  <si>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</si>
  <si>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</si>
  <si>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</si>
  <si>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</si>
  <si>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</si>
  <si>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</si>
  <si>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</si>
  <si>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</si>
  <si>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</si>
  <si>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</si>
  <si>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</si>
  <si>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</si>
  <si>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</si>
  <si>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</si>
  <si>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</si>
  <si>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</si>
  <si>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</si>
  <si>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</si>
  <si>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</si>
  <si>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</si>
  <si>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</si>
  <si>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</si>
  <si>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</si>
  <si>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</si>
  <si>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</si>
  <si>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</si>
  <si>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</si>
  <si>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</si>
  <si>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</si>
  <si>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</si>
  <si>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</si>
  <si>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</si>
  <si>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</si>
  <si>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</si>
  <si>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</si>
  <si>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</si>
  <si>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</si>
  <si>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</si>
  <si>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</si>
  <si>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</si>
  <si>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</si>
  <si>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</si>
  <si>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</si>
  <si>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</si>
  <si>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</si>
  <si>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</si>
  <si>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</si>
  <si>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</si>
  <si>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</si>
  <si>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</si>
  <si>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</si>
  <si>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</si>
  <si>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</si>
  <si>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</si>
  <si>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</si>
  <si>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</si>
  <si>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</si>
  <si>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</si>
  <si>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</si>
  <si>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</si>
  <si>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</si>
  <si>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</si>
  <si>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</si>
  <si>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</si>
  <si>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</si>
  <si>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</si>
  <si>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</si>
  <si>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</si>
  <si>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</si>
  <si>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</si>
  <si>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</si>
  <si>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</si>
  <si>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</si>
  <si>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</si>
  <si>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</si>
  <si>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</si>
  <si>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</si>
  <si>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</si>
  <si>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</si>
  <si>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</si>
  <si>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</si>
  <si>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</si>
  <si>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</si>
  <si>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</si>
  <si>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</si>
  <si>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</si>
  <si>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</si>
  <si>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</si>
  <si>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</si>
  <si>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</si>
  <si>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</si>
  <si>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</si>
  <si>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</si>
  <si>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</si>
  <si>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</si>
  <si>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</si>
  <si>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</si>
  <si>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</si>
  <si>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</si>
  <si>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</si>
  <si>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</si>
  <si>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</si>
  <si>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</si>
  <si>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</si>
  <si>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</si>
  <si>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</si>
  <si>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</si>
  <si>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</si>
  <si>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</si>
  <si>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</si>
  <si>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</si>
  <si>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</si>
  <si>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</si>
  <si>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</si>
  <si>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</si>
  <si>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</si>
  <si>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</si>
  <si>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</si>
  <si>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</si>
  <si>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</si>
  <si>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</si>
  <si>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</si>
  <si>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</si>
  <si>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</si>
  <si>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</si>
  <si>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</si>
  <si>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</si>
  <si>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</si>
  <si>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</si>
  <si>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</si>
  <si>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</si>
  <si>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</si>
  <si>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</si>
  <si>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</si>
  <si>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</si>
  <si>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</si>
  <si>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</si>
  <si>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</si>
  <si>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</si>
  <si>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</si>
  <si>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</si>
  <si>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</si>
  <si>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</si>
  <si>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</si>
  <si>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</si>
  <si>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</si>
  <si>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</si>
  <si>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</si>
  <si>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</si>
  <si>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</si>
  <si>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</si>
  <si>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</si>
  <si>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</si>
  <si>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</si>
  <si>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</si>
  <si>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</si>
  <si>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</si>
  <si>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</si>
  <si>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</si>
  <si>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</si>
  <si>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</si>
  <si>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</si>
  <si>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</si>
  <si>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</si>
  <si>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</si>
  <si>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</si>
  <si>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</si>
  <si>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</si>
  <si>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</si>
  <si>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</si>
  <si>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</si>
  <si>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</si>
  <si>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</si>
  <si>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</si>
  <si>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</si>
  <si>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</si>
  <si>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</si>
  <si>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</si>
  <si>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</si>
  <si>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</si>
  <si>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</si>
  <si>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</si>
  <si>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</si>
  <si>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</si>
  <si>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</si>
  <si>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</si>
  <si>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</si>
  <si>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</si>
  <si>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</si>
  <si>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</si>
  <si>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</si>
  <si>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</si>
  <si>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</si>
  <si>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</si>
  <si>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</si>
  <si>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</si>
  <si>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</si>
  <si>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</si>
  <si>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</si>
  <si>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</si>
  <si>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</si>
  <si>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</si>
  <si>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</si>
  <si>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</si>
  <si>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</si>
  <si>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</si>
  <si>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</si>
  <si>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</si>
  <si>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</si>
  <si>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</si>
  <si>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</si>
  <si>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</si>
  <si>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</si>
  <si>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</si>
  <si>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</si>
  <si>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</si>
  <si>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</si>
  <si>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</si>
  <si>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</si>
  <si>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</si>
  <si>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</si>
  <si>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</si>
  <si>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</si>
  <si>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</si>
  <si>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</si>
  <si>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</si>
  <si>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</si>
  <si>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</si>
  <si>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</si>
  <si>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</si>
  <si>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</si>
  <si>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</si>
  <si>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</si>
  <si>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</si>
  <si>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</si>
  <si>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</si>
  <si>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</si>
  <si>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</si>
  <si>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</si>
  <si>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</si>
  <si>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</si>
  <si>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</si>
  <si>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</si>
  <si>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</si>
  <si>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</si>
  <si>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</si>
  <si>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</si>
  <si>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</si>
  <si>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</si>
  <si>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</si>
  <si>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</si>
  <si>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</si>
  <si>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</si>
  <si>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</si>
  <si>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</si>
  <si>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</si>
  <si>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</si>
  <si>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</si>
  <si>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</si>
  <si>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</si>
  <si>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</si>
  <si>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</si>
  <si>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</si>
  <si>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</si>
  <si>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</si>
  <si>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</si>
  <si>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</si>
  <si>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</si>
  <si>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</si>
  <si>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</si>
  <si>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</si>
  <si>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</si>
  <si>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</si>
  <si>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</si>
  <si>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</si>
  <si>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</si>
  <si>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</si>
  <si>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</si>
  <si>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</si>
  <si>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</si>
  <si>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</si>
  <si>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</si>
  <si>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</si>
  <si>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</si>
  <si>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</si>
  <si>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</si>
  <si>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</si>
  <si>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</si>
  <si>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</si>
  <si>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</si>
  <si>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</si>
  <si>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</si>
  <si>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</si>
  <si>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</si>
  <si>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</si>
  <si>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</si>
  <si>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</si>
  <si>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</si>
  <si>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</si>
  <si>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</si>
  <si>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</si>
  <si>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</si>
  <si>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</si>
  <si>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</si>
  <si>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</si>
  <si>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</si>
  <si>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</si>
  <si>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</si>
  <si>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</si>
  <si>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</si>
  <si>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</si>
  <si>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</si>
  <si>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</si>
  <si>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</si>
  <si>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</si>
  <si>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</si>
  <si>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</si>
  <si>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</si>
  <si>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</si>
  <si>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</si>
  <si>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</si>
  <si>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</si>
  <si>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</si>
  <si>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</si>
  <si>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</si>
  <si>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</si>
  <si>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</si>
  <si>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</si>
  <si>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</si>
  <si>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</si>
  <si>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</si>
  <si>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</si>
  <si>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</si>
  <si>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</si>
  <si>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</si>
  <si>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</si>
  <si>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</si>
  <si>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</si>
  <si>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</si>
  <si>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</si>
  <si>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</si>
  <si>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</si>
  <si>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</si>
  <si>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</si>
  <si>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</si>
  <si>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</si>
  <si>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</si>
  <si>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</si>
  <si>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</si>
  <si>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</si>
  <si>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</si>
  <si>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</si>
  <si>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</si>
  <si>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</si>
  <si>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</si>
  <si>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</si>
  <si>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</si>
  <si>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</si>
  <si>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</si>
  <si>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</si>
  <si>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</si>
  <si>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</si>
  <si>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</si>
  <si>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</si>
  <si>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</si>
  <si>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</si>
  <si>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</si>
  <si>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</si>
  <si>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</si>
  <si>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</si>
  <si>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</si>
  <si>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</si>
  <si>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</si>
  <si>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</si>
  <si>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</si>
  <si>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</si>
  <si>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</si>
  <si>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</si>
  <si>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</si>
  <si>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</si>
  <si>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</si>
  <si>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</si>
  <si>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</si>
  <si>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</si>
  <si>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</si>
  <si>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</si>
  <si>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</si>
  <si>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</si>
  <si>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</si>
  <si>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</si>
  <si>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</si>
  <si>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</si>
  <si>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</si>
  <si>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</si>
  <si>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</si>
  <si>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</si>
  <si>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</si>
  <si>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</si>
  <si>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</si>
  <si>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</si>
  <si>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</si>
  <si>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</si>
  <si>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</si>
  <si>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</si>
  <si>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</si>
  <si>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</si>
  <si>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</si>
  <si>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</si>
  <si>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</si>
  <si>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</si>
  <si>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</si>
  <si>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</si>
  <si>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</si>
  <si>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</si>
  <si>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</si>
  <si>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</si>
  <si>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</si>
  <si>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</si>
  <si>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</si>
  <si>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</si>
  <si>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</si>
  <si>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</si>
  <si>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</si>
  <si>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</si>
  <si>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</si>
  <si>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</si>
  <si>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</si>
  <si>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</si>
  <si>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</si>
  <si>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</si>
  <si>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</si>
  <si>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</si>
  <si>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</si>
  <si>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</si>
  <si>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</si>
  <si>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</si>
  <si>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</si>
  <si>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</si>
  <si>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</si>
  <si>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</si>
  <si>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</si>
  <si>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</si>
  <si>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</si>
  <si>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</si>
  <si>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</si>
  <si>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</si>
  <si>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</si>
  <si>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</si>
  <si>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</si>
  <si>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</si>
  <si>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</si>
  <si>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</si>
  <si>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</si>
  <si>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</si>
  <si>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</si>
  <si>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</si>
  <si>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</si>
  <si>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</si>
  <si>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</si>
  <si>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</si>
  <si>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</si>
  <si>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</si>
  <si>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</si>
  <si>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</si>
  <si>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</si>
  <si>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</si>
  <si>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</si>
  <si>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</si>
  <si>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</si>
  <si>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</si>
  <si>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</si>
  <si>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</si>
  <si>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</si>
  <si>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</si>
  <si>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</si>
  <si>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</si>
  <si>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</si>
  <si>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</si>
  <si>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</si>
  <si>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</si>
  <si>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</si>
  <si>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</si>
  <si>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</si>
  <si>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</si>
  <si>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</si>
  <si>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</si>
  <si>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</si>
  <si>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</si>
  <si>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</si>
  <si>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</si>
  <si>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</si>
  <si>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</si>
  <si>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</si>
  <si>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</si>
  <si>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</si>
  <si>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</si>
  <si>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</si>
  <si>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</si>
  <si>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</si>
  <si>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</si>
  <si>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</si>
  <si>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</si>
  <si>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</si>
  <si>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</si>
  <si>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</si>
  <si>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</si>
  <si>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</si>
  <si>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</si>
  <si>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</si>
  <si>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</si>
  <si>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</si>
  <si>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</si>
  <si>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</si>
  <si>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</si>
  <si>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</si>
  <si>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</si>
  <si>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</si>
  <si>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</si>
  <si>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</si>
  <si>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</si>
  <si>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</si>
  <si>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</si>
  <si>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</si>
  <si>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</si>
  <si>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</si>
  <si>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</si>
  <si>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</si>
  <si>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</si>
  <si>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</si>
  <si>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</si>
  <si>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</si>
  <si>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</si>
  <si>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</si>
  <si>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</si>
  <si>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</si>
  <si>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</si>
  <si>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</si>
  <si>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</si>
  <si>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</si>
  <si>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</si>
  <si>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</si>
  <si>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</si>
  <si>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</si>
  <si>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</si>
  <si>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</si>
  <si>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</si>
  <si>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</si>
  <si>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</si>
  <si>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</si>
  <si>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</si>
  <si>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</si>
  <si>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</si>
  <si>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</si>
  <si>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</si>
  <si>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</si>
  <si>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</si>
  <si>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</si>
  <si>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</si>
  <si>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</si>
  <si>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</si>
  <si>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</si>
  <si>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</si>
  <si>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</si>
  <si>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</si>
  <si>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</si>
  <si>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</si>
  <si>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</si>
  <si>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</si>
  <si>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</si>
  <si>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</si>
  <si>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</si>
  <si>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</si>
  <si>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</si>
  <si>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</si>
  <si>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</si>
  <si>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</si>
  <si>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</si>
  <si>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</si>
  <si>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</si>
  <si>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</si>
  <si>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</si>
  <si>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</si>
  <si>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</si>
  <si>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</si>
  <si>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</si>
  <si>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</si>
  <si>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</si>
  <si>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</si>
  <si>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</si>
  <si>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</si>
  <si>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</si>
  <si>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</si>
  <si>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</si>
  <si>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</si>
  <si>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</si>
  <si>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</si>
  <si>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</si>
  <si>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</si>
  <si>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</si>
  <si>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</si>
  <si>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</si>
  <si>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</si>
  <si>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</si>
  <si>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</si>
  <si>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</si>
  <si>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</si>
  <si>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</si>
  <si>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</si>
  <si>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</si>
  <si>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</si>
  <si>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</si>
  <si>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</si>
  <si>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</si>
  <si>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</si>
  <si>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</si>
  <si>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</si>
  <si>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</si>
  <si>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</si>
  <si>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</si>
  <si>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</si>
  <si>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</si>
  <si>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</si>
  <si>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</si>
  <si>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</si>
  <si>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</si>
  <si>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</si>
  <si>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</si>
  <si>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</si>
  <si>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</si>
  <si>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</si>
  <si>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</si>
  <si>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</si>
  <si>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</si>
  <si>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</si>
  <si>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</si>
  <si>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</si>
  <si>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</si>
  <si>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</si>
  <si>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</si>
  <si>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</si>
  <si>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</si>
  <si>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</si>
  <si>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</si>
  <si>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</si>
  <si>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</si>
  <si>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</si>
  <si>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</si>
  <si>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</si>
  <si>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</si>
  <si>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</si>
  <si>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</si>
  <si>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</si>
  <si>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</si>
  <si>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</si>
  <si>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</si>
  <si>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</si>
  <si>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</si>
  <si>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</si>
  <si>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</si>
  <si>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</si>
  <si>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</si>
  <si>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</si>
  <si>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</si>
  <si>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</si>
  <si>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</si>
  <si>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</si>
  <si>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</si>
  <si>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</si>
  <si>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</si>
  <si>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</si>
  <si>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</si>
  <si>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</si>
  <si>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</si>
  <si>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</si>
  <si>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</si>
  <si>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</si>
  <si>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</si>
  <si>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</si>
  <si>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</si>
  <si>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</si>
  <si>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</si>
  <si>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</si>
  <si>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</si>
  <si>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</si>
  <si>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</si>
  <si>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</si>
  <si>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</si>
  <si>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</si>
  <si>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</si>
  <si>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</si>
  <si>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</si>
  <si>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</si>
  <si>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</si>
  <si>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</si>
  <si>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</si>
  <si>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</si>
  <si>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</si>
  <si>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</si>
  <si>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</si>
  <si>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</si>
  <si>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</si>
  <si>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</si>
  <si>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</si>
  <si>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</si>
  <si>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</si>
  <si>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</si>
  <si>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</si>
  <si>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</si>
  <si>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</si>
  <si>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</si>
  <si>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</si>
  <si>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</si>
  <si>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</si>
  <si>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</si>
  <si>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</si>
  <si>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</si>
  <si>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</si>
  <si>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</si>
  <si>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</si>
  <si>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</si>
  <si>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</si>
  <si>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</si>
  <si>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</si>
  <si>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</si>
  <si>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</si>
  <si>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</si>
  <si>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</si>
  <si>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</si>
  <si>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</si>
  <si>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</si>
  <si>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</si>
  <si>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</si>
  <si>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</si>
  <si>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</si>
  <si>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</si>
  <si>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</si>
  <si>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</si>
  <si>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</si>
  <si>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</si>
  <si>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</si>
  <si>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</si>
  <si>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</si>
  <si>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</si>
  <si>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</si>
  <si>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</si>
  <si>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</si>
  <si>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</si>
  <si>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</si>
  <si>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</si>
  <si>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</si>
  <si>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</si>
  <si>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</si>
  <si>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</si>
  <si>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</si>
  <si>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</si>
  <si>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</si>
  <si>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</si>
  <si>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</si>
  <si>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</si>
  <si>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</si>
  <si>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</si>
  <si>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</si>
  <si>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</si>
  <si>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</si>
  <si>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</si>
  <si>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</si>
  <si>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</si>
  <si>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</si>
  <si>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</si>
  <si>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</si>
  <si>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</si>
  <si>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</si>
  <si>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</si>
  <si>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</si>
  <si>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</si>
  <si>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</si>
  <si>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</si>
  <si>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</si>
  <si>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</si>
  <si>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</si>
  <si>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</si>
  <si>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</si>
  <si>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</si>
  <si>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</si>
  <si>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</si>
  <si>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</si>
  <si>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</si>
  <si>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</si>
  <si>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</si>
  <si>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</si>
  <si>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</si>
  <si>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</si>
  <si>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</si>
  <si>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</si>
  <si>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</si>
  <si>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</si>
  <si>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</si>
  <si>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</si>
  <si>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</si>
  <si>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</si>
  <si>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</si>
  <si>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</si>
  <si>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</si>
  <si>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</si>
  <si>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</si>
  <si>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</si>
  <si>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</si>
  <si>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</si>
  <si>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</si>
  <si>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</si>
  <si>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</si>
  <si>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</si>
  <si>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</si>
  <si>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</si>
  <si>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</si>
  <si>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</si>
  <si>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</si>
  <si>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</si>
  <si>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</si>
  <si>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</si>
  <si>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</si>
  <si>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</si>
  <si>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</si>
  <si>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</si>
  <si>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</si>
  <si>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</si>
  <si>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</si>
  <si>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</si>
  <si>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</si>
  <si>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</si>
  <si>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</si>
  <si>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</si>
  <si>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</si>
  <si>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</si>
  <si>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</si>
  <si>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</si>
  <si>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</si>
  <si>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</si>
  <si>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</si>
  <si>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</si>
  <si>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</si>
  <si>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</si>
  <si>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</si>
  <si>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</si>
  <si>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</si>
  <si>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</si>
  <si>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</si>
  <si>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</si>
  <si>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</si>
  <si>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</si>
  <si>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</si>
  <si>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</si>
  <si>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</si>
  <si>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</si>
  <si>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</si>
  <si>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</si>
  <si>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</si>
  <si>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</si>
  <si>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</si>
  <si>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</si>
  <si>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</si>
  <si>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</si>
  <si>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</si>
  <si>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</si>
  <si>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</si>
  <si>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</si>
  <si>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</si>
  <si>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</si>
  <si>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</si>
  <si>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</si>
  <si>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</si>
  <si>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</si>
  <si>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</si>
  <si>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</si>
  <si>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</si>
  <si>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</si>
  <si>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</si>
  <si>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</si>
  <si>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</si>
  <si>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</si>
  <si>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</si>
  <si>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</si>
  <si>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</si>
  <si>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</si>
  <si>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</si>
  <si>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</si>
  <si>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</si>
  <si>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</si>
  <si>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</si>
  <si>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</si>
  <si>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</si>
  <si>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</si>
  <si>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</si>
  <si>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</si>
  <si>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</si>
  <si>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</si>
  <si>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</si>
  <si>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</si>
  <si>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</si>
  <si>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</si>
  <si>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</si>
  <si>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</si>
  <si>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</si>
  <si>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</si>
  <si>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</si>
  <si>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</si>
  <si>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</si>
  <si>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</si>
  <si>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</si>
  <si>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</si>
  <si>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</si>
  <si>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</si>
  <si>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</si>
  <si>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</si>
  <si>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</si>
  <si>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</si>
  <si>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</si>
  <si>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</si>
  <si>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</si>
  <si>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</si>
  <si>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</si>
  <si>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</si>
  <si>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</si>
  <si>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</si>
  <si>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</si>
  <si>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</si>
  <si>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</si>
  <si>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</si>
  <si>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</si>
  <si>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</si>
  <si>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</si>
  <si>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</si>
  <si>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</si>
  <si>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</si>
  <si>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</si>
  <si>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</si>
  <si>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</si>
  <si>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</si>
  <si>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</si>
  <si>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</si>
  <si>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</si>
  <si>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</si>
  <si>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</si>
  <si>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</si>
  <si>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</si>
  <si>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</si>
  <si>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</si>
  <si>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</si>
  <si>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</si>
  <si>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</si>
  <si>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</si>
  <si>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</si>
  <si>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</si>
  <si>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</si>
  <si>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</si>
  <si>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</si>
  <si>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</si>
  <si>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</si>
  <si>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</si>
  <si>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</si>
  <si>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</si>
  <si>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</si>
  <si>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</si>
  <si>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</si>
  <si>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</si>
  <si>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</si>
  <si>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</si>
  <si>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</si>
  <si>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</si>
  <si>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</si>
  <si>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</si>
  <si>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</si>
  <si>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</si>
  <si>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</si>
  <si>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</si>
  <si>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</si>
  <si>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</si>
  <si>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</si>
  <si>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</si>
  <si>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</si>
  <si>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</si>
  <si>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</si>
  <si>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</si>
  <si>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</si>
  <si>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</si>
  <si>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</si>
  <si>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</si>
  <si>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</si>
  <si>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</si>
  <si>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</si>
  <si>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</si>
  <si>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</si>
  <si>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</si>
  <si>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</si>
  <si>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</si>
  <si>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</si>
  <si>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</si>
  <si>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</si>
  <si>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</si>
  <si>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</si>
  <si>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</si>
  <si>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</si>
  <si>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</si>
  <si>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</si>
  <si>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</si>
  <si>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</si>
  <si>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</si>
  <si>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</si>
  <si>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</si>
  <si>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</si>
  <si>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</si>
  <si>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</si>
  <si>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</si>
  <si>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</si>
  <si>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</si>
  <si>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</si>
  <si>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</si>
  <si>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</si>
  <si>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</si>
  <si>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</si>
  <si>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</si>
  <si>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</si>
  <si>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</si>
  <si>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</si>
  <si>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</si>
  <si>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</si>
  <si>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</si>
  <si>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</si>
  <si>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</si>
  <si>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</si>
  <si>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</si>
  <si>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</si>
  <si>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</si>
  <si>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</si>
  <si>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</si>
  <si>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</si>
  <si>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</si>
  <si>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</si>
  <si>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</si>
  <si>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</si>
  <si>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</si>
  <si>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</si>
  <si>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</si>
  <si>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</si>
  <si>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</si>
  <si>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</si>
  <si>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</si>
  <si>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</si>
  <si>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</si>
  <si>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</si>
  <si>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</si>
  <si>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</si>
  <si>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</si>
  <si>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</si>
  <si>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</si>
  <si>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</si>
  <si>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</si>
  <si>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</si>
  <si>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</si>
  <si>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</si>
  <si>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</si>
  <si>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</si>
  <si>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</si>
  <si>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</si>
  <si>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</si>
  <si>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</si>
  <si>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</si>
  <si>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</si>
  <si>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</si>
  <si>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</si>
  <si>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</si>
  <si>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</si>
  <si>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</si>
  <si>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</si>
  <si>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</si>
  <si>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</si>
  <si>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</si>
  <si>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</si>
  <si>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</si>
  <si>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</si>
  <si>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</si>
  <si>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</si>
  <si>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</si>
  <si>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</si>
  <si>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</si>
  <si>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</si>
  <si>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</si>
  <si>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</si>
  <si>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</si>
  <si>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</si>
  <si>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</si>
  <si>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</si>
  <si>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</si>
  <si>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</si>
  <si>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</si>
  <si>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</si>
  <si>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</si>
  <si>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</si>
  <si>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</si>
  <si>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</si>
  <si>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</si>
  <si>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</si>
  <si>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</si>
  <si>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</si>
  <si>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</si>
  <si>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</si>
  <si>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</si>
  <si>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</si>
  <si>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</si>
  <si>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</si>
  <si>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</si>
  <si>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</si>
  <si>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</si>
  <si>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</si>
  <si>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</si>
  <si>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</si>
  <si>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</si>
  <si>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</si>
  <si>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</si>
  <si>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</si>
  <si>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</si>
  <si>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</si>
  <si>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</si>
  <si>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</si>
  <si>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</si>
  <si>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</si>
  <si>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</si>
  <si>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</si>
  <si>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</si>
  <si>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</si>
  <si>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</si>
  <si>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</si>
  <si>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</si>
  <si>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</si>
  <si>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</si>
  <si>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</si>
  <si>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</si>
  <si>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</si>
  <si>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</si>
  <si>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</si>
  <si>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</si>
  <si>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</si>
  <si>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</si>
  <si>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</si>
  <si>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</si>
  <si>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</si>
  <si>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</si>
  <si>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</si>
  <si>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</si>
  <si>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</si>
  <si>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</si>
  <si>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</si>
  <si>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</si>
  <si>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</si>
  <si>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</si>
  <si>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</si>
  <si>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</si>
  <si>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</si>
  <si>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</si>
  <si>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</si>
  <si>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</si>
  <si>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</si>
  <si>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</si>
  <si>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</si>
  <si>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</si>
  <si>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</si>
  <si>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</si>
  <si>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</si>
  <si>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</si>
  <si>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</si>
  <si>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</si>
  <si>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</si>
  <si>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</si>
  <si>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</si>
  <si>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</si>
  <si>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</si>
  <si>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</si>
  <si>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</si>
  <si>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</si>
  <si>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</si>
  <si>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</si>
  <si>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</si>
  <si>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</si>
  <si>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</si>
  <si>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</si>
  <si>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</si>
  <si>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</si>
  <si>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</si>
  <si>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</si>
  <si>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</si>
  <si>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</si>
  <si>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</si>
  <si>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</si>
  <si>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</si>
  <si>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</si>
  <si>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</si>
  <si>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</si>
  <si>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</si>
  <si>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</si>
  <si>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</si>
  <si>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</si>
  <si>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</si>
  <si>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</si>
  <si>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</si>
  <si>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</si>
  <si>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</si>
  <si>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</si>
  <si>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</si>
  <si>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</si>
  <si>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</si>
  <si>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</si>
  <si>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</si>
  <si>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</si>
  <si>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</si>
  <si>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</si>
  <si>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</si>
  <si>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</si>
  <si>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</si>
  <si>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</si>
  <si>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</si>
  <si>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</si>
  <si>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</si>
  <si>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</si>
  <si>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</si>
  <si>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</si>
  <si>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</si>
  <si>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</si>
  <si>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</si>
  <si>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</si>
  <si>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</si>
  <si>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</si>
  <si>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</si>
  <si>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</si>
  <si>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</si>
  <si>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</si>
  <si>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</si>
  <si>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</si>
  <si>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</si>
  <si>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</si>
  <si>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</si>
  <si>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</si>
  <si>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</si>
  <si>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</si>
  <si>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</si>
  <si>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</si>
  <si>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</si>
  <si>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</si>
  <si>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</si>
  <si>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</si>
  <si>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</si>
  <si>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</si>
  <si>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</si>
  <si>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</si>
  <si>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</si>
  <si>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</si>
  <si>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</si>
  <si>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</si>
  <si>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</si>
  <si>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</si>
  <si>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</si>
  <si>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</si>
  <si>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</si>
  <si>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</si>
  <si>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</si>
  <si>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</si>
  <si>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</si>
  <si>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</si>
  <si>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</si>
  <si>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</si>
  <si>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</si>
  <si>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</si>
  <si>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</si>
  <si>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</si>
  <si>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</si>
  <si>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</si>
  <si>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</si>
  <si>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</si>
  <si>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</si>
  <si>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</si>
  <si>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</si>
  <si>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</si>
  <si>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</si>
  <si>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</si>
  <si>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</si>
  <si>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</si>
  <si>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</si>
  <si>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</si>
  <si>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</si>
  <si>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</si>
  <si>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</si>
  <si>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</si>
  <si>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</si>
  <si>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</si>
  <si>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</si>
  <si>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</si>
  <si>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</si>
  <si>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</si>
  <si>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</si>
  <si>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</si>
  <si>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</si>
  <si>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</si>
  <si>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</si>
  <si>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</si>
  <si>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</si>
  <si>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</si>
  <si>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</si>
  <si>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</si>
  <si>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</si>
  <si>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</si>
  <si>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</si>
  <si>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</si>
  <si>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</si>
  <si>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</si>
  <si>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</si>
  <si>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</si>
  <si>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</si>
  <si>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</si>
  <si>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</si>
  <si>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</si>
  <si>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</si>
  <si>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</si>
  <si>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</si>
  <si>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</si>
  <si>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</si>
  <si>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</si>
  <si>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</si>
  <si>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</si>
  <si>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</si>
  <si>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</si>
  <si>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</si>
  <si>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</si>
  <si>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</si>
  <si>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</si>
  <si>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</si>
  <si>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</si>
  <si>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</si>
  <si>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</si>
  <si>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</si>
  <si>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</si>
  <si>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</si>
  <si>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</si>
  <si>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</si>
  <si>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</si>
  <si>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</si>
  <si>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</si>
  <si>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</si>
  <si>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</si>
  <si>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</si>
  <si>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</si>
  <si>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</si>
  <si>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</si>
  <si>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</si>
  <si>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</si>
  <si>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</si>
  <si>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</si>
  <si>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</si>
  <si>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</si>
  <si>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</si>
  <si>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</si>
  <si>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</si>
  <si>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</si>
  <si>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</si>
  <si>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</si>
  <si>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</si>
  <si>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</si>
  <si>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</si>
  <si>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</si>
  <si>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</si>
  <si>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</si>
  <si>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</si>
  <si>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</si>
  <si>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</si>
  <si>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</si>
  <si>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</si>
  <si>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</si>
  <si>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</si>
  <si>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</si>
  <si>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</si>
  <si>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</si>
  <si>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</si>
  <si>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</si>
  <si>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</si>
  <si>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</si>
  <si>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</si>
  <si>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</si>
  <si>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</si>
  <si>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</si>
  <si>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</si>
  <si>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</si>
  <si>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</si>
  <si>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</si>
  <si>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</si>
  <si>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</si>
  <si>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</si>
  <si>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</si>
  <si>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</si>
  <si>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</si>
  <si>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</si>
  <si>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</si>
  <si>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</si>
  <si>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</si>
  <si>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</si>
  <si>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</si>
  <si>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</si>
  <si>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</si>
  <si>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</si>
  <si>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</si>
  <si>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</si>
  <si>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</si>
  <si>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</si>
  <si>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</si>
  <si>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</si>
  <si>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</si>
  <si>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</si>
  <si>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</si>
  <si>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</si>
  <si>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</si>
  <si>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</si>
  <si>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</si>
  <si>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</si>
  <si>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</si>
  <si>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</si>
  <si>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</si>
  <si>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</si>
  <si>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</si>
  <si>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</si>
  <si>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</si>
  <si>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</si>
  <si>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</si>
  <si>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</si>
  <si>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</si>
  <si>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</si>
  <si>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</si>
  <si>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</si>
  <si>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</si>
  <si>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</si>
  <si>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</si>
  <si>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</si>
  <si>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</si>
  <si>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</si>
  <si>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</si>
  <si>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</si>
  <si>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</si>
  <si>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</si>
  <si>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</si>
  <si>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</si>
  <si>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</si>
  <si>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</si>
  <si>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</si>
  <si>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</si>
  <si>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</si>
  <si>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</si>
  <si>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</si>
  <si>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</si>
  <si>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</si>
  <si>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</si>
  <si>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</si>
  <si>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</si>
  <si>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</si>
  <si>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</si>
  <si>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</si>
  <si>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</si>
  <si>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</si>
  <si>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</si>
  <si>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</si>
  <si>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</si>
  <si>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</si>
  <si>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</si>
  <si>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</si>
  <si>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</si>
  <si>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</si>
  <si>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</si>
  <si>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</si>
  <si>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</si>
  <si>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</si>
  <si>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</si>
  <si>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</si>
  <si>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</si>
  <si>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</si>
  <si>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</si>
  <si>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</si>
  <si>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</si>
  <si>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</si>
  <si>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</si>
  <si>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</si>
  <si>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</si>
  <si>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</si>
  <si>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</si>
  <si>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</si>
  <si>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</si>
  <si>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</si>
  <si>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</si>
  <si>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</si>
  <si>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</si>
  <si>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</si>
  <si>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</si>
  <si>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</si>
  <si>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</si>
  <si>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</si>
  <si>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</si>
  <si>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</si>
  <si>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</si>
  <si>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</si>
  <si>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</si>
  <si>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</si>
  <si>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</si>
  <si>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</si>
  <si>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</si>
  <si>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</si>
  <si>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</si>
  <si>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</si>
  <si>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</si>
  <si>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</si>
  <si>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</si>
  <si>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</si>
  <si>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</si>
  <si>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</si>
  <si>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</si>
  <si>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</si>
  <si>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</si>
  <si>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</si>
  <si>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</si>
  <si>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</si>
  <si>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</si>
  <si>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</si>
  <si>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</si>
  <si>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</si>
  <si>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</si>
  <si>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</si>
  <si>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</si>
  <si>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</si>
  <si>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</si>
  <si>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</si>
  <si>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</si>
  <si>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</si>
  <si>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</si>
  <si>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</si>
  <si>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</si>
  <si>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</si>
  <si>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</si>
  <si>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</si>
  <si>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</si>
  <si>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</si>
  <si>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</si>
  <si>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</si>
  <si>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</si>
  <si>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</si>
  <si>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</si>
  <si>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</si>
  <si>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</si>
  <si>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</si>
  <si>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</si>
  <si>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</si>
  <si>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</si>
  <si>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</si>
  <si>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</si>
  <si>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</si>
  <si>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</si>
  <si>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</si>
  <si>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</si>
  <si>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</si>
  <si>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</si>
  <si>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</si>
  <si>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</si>
  <si>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</si>
  <si>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</si>
  <si>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</si>
  <si>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</si>
  <si>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</si>
  <si>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</si>
  <si>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</si>
  <si>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</si>
  <si>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</si>
  <si>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</si>
  <si>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</si>
  <si>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</si>
  <si>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</si>
  <si>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</si>
  <si>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</si>
  <si>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</si>
  <si>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</si>
  <si>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</si>
  <si>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</si>
  <si>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</si>
  <si>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</si>
  <si>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</si>
  <si>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</si>
  <si>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</si>
  <si>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</si>
  <si>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</si>
  <si>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</si>
  <si>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</si>
  <si>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</si>
  <si>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</si>
  <si>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</si>
  <si>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</si>
  <si>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</si>
  <si>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</si>
  <si>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</si>
  <si>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</si>
  <si>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</si>
  <si>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</si>
  <si>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</si>
  <si>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</si>
  <si>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</si>
  <si>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</si>
  <si>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</si>
  <si>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</si>
  <si>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</si>
  <si>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</si>
  <si>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</si>
  <si>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</si>
  <si>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</si>
  <si>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</si>
  <si>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</si>
  <si>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</si>
  <si>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</si>
  <si>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</si>
  <si>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</si>
  <si>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</si>
  <si>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</si>
  <si>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</si>
  <si>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</si>
  <si>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</si>
  <si>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</si>
  <si>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</si>
  <si>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</si>
  <si>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</si>
  <si>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</si>
  <si>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</si>
  <si>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</si>
  <si>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</si>
  <si>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</si>
  <si>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</si>
  <si>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</si>
  <si>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</si>
  <si>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</si>
  <si>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</si>
  <si>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</si>
  <si>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</si>
  <si>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</si>
  <si>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</si>
  <si>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</si>
  <si>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</si>
  <si>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</si>
  <si>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</si>
  <si>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</si>
  <si>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</si>
  <si>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</si>
  <si>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</si>
  <si>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</si>
  <si>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</si>
  <si>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</si>
  <si>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</si>
  <si>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</si>
  <si>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</si>
  <si>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</si>
  <si>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</si>
  <si>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</si>
  <si>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</si>
  <si>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</si>
  <si>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</si>
  <si>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</si>
  <si>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</si>
  <si>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</si>
  <si>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</si>
  <si>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</si>
  <si>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</si>
  <si>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</si>
  <si>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</si>
  <si>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</si>
  <si>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</si>
  <si>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</si>
  <si>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</si>
  <si>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</si>
  <si>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</si>
  <si>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</si>
  <si>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</si>
  <si>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</si>
  <si>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</si>
  <si>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</si>
  <si>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</si>
  <si>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</si>
  <si>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</si>
  <si>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</si>
  <si>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</si>
  <si>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</si>
  <si>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</si>
  <si>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</si>
  <si>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</si>
  <si>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</si>
  <si>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</si>
  <si>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</si>
  <si>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</si>
  <si>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</si>
  <si>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</si>
  <si>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</si>
  <si>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</si>
  <si>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</si>
  <si>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</si>
  <si>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</si>
  <si>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</si>
  <si>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</si>
  <si>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</si>
  <si>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</si>
  <si>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</si>
  <si>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</si>
  <si>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</si>
  <si>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</si>
  <si>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</si>
  <si>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</si>
  <si>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</si>
  <si>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</si>
  <si>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</si>
  <si>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</si>
  <si>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</si>
  <si>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</si>
  <si>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</si>
  <si>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</si>
  <si>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</si>
  <si>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</si>
  <si>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</si>
  <si>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</si>
  <si>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</si>
  <si>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</si>
  <si>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</si>
  <si>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</si>
  <si>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</si>
  <si>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</si>
  <si>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</si>
  <si>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</si>
  <si>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</si>
  <si>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</si>
  <si>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</si>
  <si>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</si>
  <si>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</si>
  <si>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</si>
  <si>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</si>
  <si>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</si>
  <si>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</si>
  <si>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</si>
  <si>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</si>
  <si>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</si>
  <si>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</si>
  <si>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</si>
  <si>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</si>
  <si>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</si>
  <si>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</si>
  <si>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</si>
  <si>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</si>
  <si>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</si>
  <si>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</si>
  <si>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</si>
  <si>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</si>
  <si>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</si>
  <si>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</si>
  <si>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</si>
  <si>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</si>
  <si>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</si>
  <si>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</si>
  <si>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</si>
  <si>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</si>
  <si>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</si>
  <si>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</si>
  <si>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</si>
  <si>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</si>
  <si>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</si>
  <si>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</si>
  <si>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</si>
  <si>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</si>
  <si>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</si>
  <si>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</si>
  <si>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</si>
  <si>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</si>
  <si>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</si>
  <si>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</si>
  <si>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</si>
  <si>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</si>
  <si>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</si>
  <si>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</si>
  <si>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</si>
  <si>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</si>
  <si>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</si>
  <si>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</si>
  <si>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</si>
  <si>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</si>
  <si>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</si>
  <si>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</si>
  <si>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</si>
  <si>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</si>
  <si>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</si>
  <si>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</si>
  <si>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</si>
  <si>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</si>
  <si>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</si>
  <si>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</si>
  <si>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</si>
  <si>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</si>
  <si>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</si>
  <si>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</si>
  <si>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</si>
  <si>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</si>
  <si>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</si>
  <si>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</si>
  <si>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</si>
  <si>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</si>
  <si>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</si>
  <si>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</si>
  <si>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</si>
  <si>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</si>
  <si>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</si>
  <si>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</si>
  <si>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</si>
  <si>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</si>
  <si>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</si>
  <si>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</si>
  <si>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</si>
  <si>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</si>
  <si>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</si>
  <si>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</si>
  <si>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</si>
  <si>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</si>
  <si>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</si>
  <si>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</si>
  <si>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</si>
  <si>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</si>
  <si>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</si>
  <si>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</si>
  <si>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</si>
  <si>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</si>
  <si>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</si>
  <si>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</si>
  <si>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</si>
  <si>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</si>
  <si>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</si>
  <si>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</si>
  <si>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</si>
  <si>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</si>
  <si>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</si>
  <si>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</si>
  <si>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</si>
  <si>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</si>
  <si>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</si>
  <si>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</si>
  <si>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</si>
  <si>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</si>
  <si>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</si>
  <si>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</si>
  <si>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</si>
  <si>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</si>
  <si>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</si>
  <si>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</si>
  <si>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</si>
  <si>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</si>
  <si>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</si>
  <si>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</si>
  <si>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</si>
  <si>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</si>
  <si>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</si>
  <si>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</si>
  <si>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</si>
  <si>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</si>
  <si>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</si>
  <si>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</si>
  <si>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</si>
  <si>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</si>
  <si>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</si>
  <si>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</si>
  <si>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</si>
  <si>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</si>
  <si>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</si>
  <si>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</si>
  <si>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</si>
  <si>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</si>
  <si>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</si>
  <si>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</si>
  <si>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</si>
  <si>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</si>
  <si>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</si>
  <si>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</si>
  <si>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</si>
  <si>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</si>
  <si>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</si>
  <si>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</si>
  <si>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</si>
  <si>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</si>
  <si>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</si>
  <si>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</si>
  <si>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</si>
  <si>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</si>
  <si>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</si>
  <si>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</si>
  <si>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</si>
  <si>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</si>
  <si>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</si>
  <si>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</si>
  <si>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</si>
  <si>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</si>
  <si>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</si>
  <si>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</si>
  <si>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</si>
  <si>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</si>
  <si>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</si>
  <si>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</si>
  <si>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</si>
  <si>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</si>
  <si>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</si>
  <si>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</si>
  <si>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</si>
  <si>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</si>
  <si>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</si>
  <si>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</si>
  <si>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</si>
  <si>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</si>
  <si>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</si>
  <si>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</si>
  <si>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</si>
  <si>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</si>
  <si>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</si>
  <si>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</si>
  <si>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</si>
  <si>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</si>
  <si>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</si>
  <si>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</si>
  <si>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</si>
  <si>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</si>
  <si>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</si>
  <si>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</si>
  <si>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</si>
  <si>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</si>
  <si>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</si>
  <si>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</si>
  <si>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</si>
  <si>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</si>
  <si>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</si>
  <si>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</si>
  <si>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</si>
  <si>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</si>
  <si>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</si>
  <si>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</si>
  <si>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</si>
  <si>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</si>
  <si>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</si>
  <si>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</si>
  <si>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</si>
  <si>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</si>
  <si>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</si>
  <si>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</si>
  <si>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</si>
  <si>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</si>
  <si>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</si>
  <si>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</si>
  <si>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</si>
  <si>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</si>
  <si>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</si>
  <si>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</si>
  <si>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</si>
  <si>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</si>
  <si>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</si>
  <si>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</si>
  <si>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</si>
  <si>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</si>
  <si>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</si>
  <si>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</si>
  <si>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</si>
  <si>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</si>
  <si>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</si>
  <si>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</si>
  <si>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</si>
  <si>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</si>
  <si>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</si>
  <si>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</si>
  <si>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</si>
  <si>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</si>
  <si>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</si>
  <si>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</si>
  <si>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</si>
  <si>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</si>
  <si>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</si>
  <si>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</si>
  <si>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</si>
  <si>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</si>
  <si>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</si>
  <si>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</si>
  <si>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</si>
  <si>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</si>
  <si>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</si>
  <si>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</si>
  <si>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</si>
  <si>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</si>
  <si>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</si>
  <si>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</si>
  <si>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</si>
  <si>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</si>
  <si>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</si>
  <si>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</si>
  <si>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</si>
  <si>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</si>
  <si>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</si>
  <si>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</si>
  <si>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</si>
  <si>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</si>
  <si>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</si>
  <si>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</si>
  <si>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</si>
  <si>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</si>
  <si>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</si>
  <si>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</si>
  <si>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</si>
  <si>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</si>
  <si>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</si>
  <si>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</si>
  <si>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</si>
  <si>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</si>
  <si>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</si>
  <si>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</si>
  <si>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</si>
  <si>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</si>
  <si>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</si>
  <si>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</si>
  <si>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</si>
  <si>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</si>
  <si>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</si>
  <si>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</si>
  <si>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</si>
  <si>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</si>
  <si>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</si>
  <si>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</si>
  <si>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</si>
  <si>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</si>
  <si>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</si>
  <si>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</si>
  <si>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</si>
  <si>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</si>
  <si>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</si>
  <si>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</si>
  <si>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</si>
  <si>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</si>
  <si>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</si>
  <si>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</si>
  <si>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</si>
  <si>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</si>
  <si>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</si>
  <si>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</si>
  <si>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</si>
  <si>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</si>
  <si>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</si>
  <si>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</si>
  <si>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</si>
  <si>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</si>
  <si>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</si>
  <si>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</si>
  <si>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</si>
  <si>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</si>
  <si>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</si>
  <si>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</si>
  <si>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</si>
  <si>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</si>
  <si>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</si>
  <si>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</si>
  <si>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</si>
  <si>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</si>
  <si>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</si>
  <si>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</si>
  <si>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</si>
  <si>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</si>
  <si>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</si>
  <si>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</si>
  <si>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</si>
  <si>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</si>
  <si>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</si>
  <si>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</si>
  <si>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</si>
  <si>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</si>
  <si>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</si>
  <si>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</si>
  <si>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</si>
  <si>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</si>
  <si>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</si>
  <si>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</si>
  <si>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</si>
  <si>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</si>
  <si>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</si>
  <si>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</si>
  <si>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</si>
  <si>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</si>
  <si>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</si>
  <si>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</si>
  <si>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</si>
  <si>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</si>
  <si>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</si>
  <si>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</si>
  <si>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</si>
  <si>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</si>
  <si>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</si>
  <si>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</si>
  <si>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</si>
  <si>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</si>
  <si>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</si>
  <si>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</si>
  <si>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</si>
  <si>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</si>
  <si>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</si>
  <si>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</si>
  <si>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</si>
  <si>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</si>
  <si>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</si>
  <si>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</si>
  <si>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</si>
  <si>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</si>
  <si>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</si>
  <si>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</si>
  <si>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</si>
  <si>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</si>
  <si>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</si>
  <si>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</si>
  <si>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</si>
  <si>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</si>
  <si>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</si>
  <si>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</si>
  <si>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</si>
  <si>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</si>
  <si>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</si>
  <si>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</si>
  <si>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</si>
  <si>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</si>
  <si>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</si>
  <si>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</si>
  <si>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</si>
  <si>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</si>
  <si>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</si>
  <si>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</si>
  <si>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</si>
  <si>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</si>
  <si>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</si>
  <si>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</si>
  <si>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</si>
  <si>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</si>
  <si>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</si>
  <si>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</si>
  <si>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</si>
  <si>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</si>
  <si>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</si>
  <si>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</si>
  <si>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</si>
  <si>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</si>
  <si>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</si>
  <si>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</si>
  <si>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</si>
  <si>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</si>
  <si>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</si>
  <si>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</si>
  <si>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</si>
  <si>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</si>
  <si>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</si>
  <si>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</si>
  <si>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</si>
  <si>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</si>
  <si>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</si>
  <si>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</si>
  <si>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</si>
  <si>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</si>
  <si>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</si>
  <si>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</si>
  <si>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</si>
  <si>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</si>
  <si>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</si>
  <si>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</si>
  <si>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</si>
  <si>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</si>
  <si>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</si>
  <si>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</si>
  <si>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</si>
  <si>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</si>
  <si>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</si>
  <si>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</si>
  <si>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</si>
  <si>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</si>
  <si>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</si>
  <si>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</si>
  <si>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</si>
  <si>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</si>
  <si>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</si>
  <si>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</si>
  <si>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</si>
  <si>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</si>
  <si>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</si>
  <si>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</si>
  <si>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</si>
  <si>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</si>
  <si>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</si>
  <si>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</si>
  <si>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</si>
  <si>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</si>
  <si>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</si>
  <si>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</si>
  <si>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</si>
  <si>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</si>
  <si>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</si>
  <si>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</si>
  <si>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</si>
  <si>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</si>
  <si>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</si>
  <si>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</si>
  <si>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</si>
  <si>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</si>
  <si>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</si>
  <si>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</si>
  <si>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</si>
  <si>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</si>
  <si>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</si>
  <si>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</si>
  <si>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</si>
  <si>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</si>
  <si>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</si>
  <si>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</si>
  <si>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</si>
  <si>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</si>
  <si>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</si>
  <si>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</si>
  <si>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</si>
  <si>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</si>
  <si>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</si>
  <si>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</si>
  <si>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</si>
  <si>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</si>
  <si>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</si>
  <si>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</si>
  <si>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</si>
  <si>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</si>
  <si>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</si>
  <si>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</si>
  <si>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</si>
  <si>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</si>
  <si>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</si>
  <si>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</si>
  <si>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</si>
  <si>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</si>
  <si>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</si>
  <si>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</si>
  <si>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</si>
  <si>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</si>
  <si>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</si>
  <si>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</si>
  <si>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</si>
  <si>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</si>
  <si>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</si>
  <si>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</si>
  <si>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</si>
  <si>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</si>
  <si>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</si>
  <si>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</si>
  <si>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</si>
  <si>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</si>
  <si>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</si>
  <si>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</si>
  <si>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</si>
  <si>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</si>
  <si>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</si>
  <si>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</si>
  <si>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</si>
  <si>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</si>
  <si>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</si>
  <si>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</si>
  <si>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</si>
  <si>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</si>
  <si>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</si>
  <si>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</si>
  <si>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</si>
  <si>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</si>
  <si>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</si>
  <si>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</si>
  <si>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</si>
  <si>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</si>
  <si>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</si>
  <si>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</si>
  <si>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</si>
  <si>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</si>
  <si>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</si>
  <si>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</si>
  <si>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</si>
  <si>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</si>
  <si>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</si>
  <si>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</si>
  <si>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</si>
  <si>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</si>
  <si>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</si>
  <si>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</si>
  <si>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</si>
  <si>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</si>
  <si>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</si>
  <si>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</si>
  <si>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</si>
  <si>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</si>
  <si>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</si>
  <si>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</si>
  <si>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</si>
  <si>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</si>
  <si>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</si>
  <si>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</si>
  <si>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</si>
  <si>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</si>
  <si>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</si>
  <si>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</si>
  <si>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</si>
  <si>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</si>
  <si>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</si>
  <si>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</si>
  <si>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</si>
  <si>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</si>
  <si>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</si>
  <si>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</si>
  <si>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</si>
  <si>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</si>
  <si>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</si>
  <si>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</si>
  <si>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</si>
  <si>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</si>
  <si>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</si>
  <si>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</si>
  <si>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</si>
  <si>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</si>
  <si>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</si>
  <si>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</si>
  <si>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</si>
  <si>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</si>
  <si>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</si>
  <si>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</si>
  <si>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</si>
  <si>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</si>
  <si>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</si>
  <si>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</si>
  <si>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</si>
  <si>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</si>
  <si>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</si>
  <si>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</si>
  <si>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</si>
  <si>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</si>
  <si>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</si>
  <si>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</si>
  <si>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</si>
  <si>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</si>
  <si>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</si>
  <si>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</si>
  <si>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</si>
  <si>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</si>
  <si>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</si>
  <si>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</si>
  <si>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</si>
  <si>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</si>
  <si>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</si>
  <si>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</si>
  <si>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</si>
  <si>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</si>
  <si>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</si>
  <si>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</si>
  <si>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</si>
  <si>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</si>
  <si>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</si>
  <si>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</si>
  <si>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</si>
  <si>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</si>
  <si>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</si>
  <si>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</si>
  <si>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</si>
  <si>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</si>
  <si>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</si>
  <si>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</si>
  <si>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</si>
  <si>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</si>
  <si>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</si>
  <si>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</si>
  <si>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</si>
  <si>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</si>
  <si>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</si>
  <si>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</si>
  <si>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</si>
  <si>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</si>
  <si>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</si>
  <si>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</si>
  <si>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</si>
  <si>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</si>
  <si>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</si>
  <si>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</si>
  <si>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</si>
  <si>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</si>
  <si>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</si>
  <si>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</si>
  <si>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</si>
  <si>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</si>
  <si>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</si>
  <si>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</si>
  <si>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</si>
  <si>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</si>
  <si>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</si>
  <si>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</si>
  <si>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</si>
  <si>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</si>
  <si>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</si>
  <si>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</si>
  <si>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</si>
  <si>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</si>
  <si>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</si>
  <si>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</si>
  <si>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</si>
  <si>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</si>
  <si>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</si>
  <si>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</si>
  <si>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</si>
  <si>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</si>
  <si>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</si>
  <si>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</si>
  <si>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</si>
  <si>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</si>
  <si>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</si>
  <si>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</si>
  <si>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</si>
  <si>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</si>
  <si>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</si>
  <si>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</si>
  <si>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</si>
  <si>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</si>
  <si>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</si>
  <si>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</si>
  <si>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</si>
  <si>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</si>
  <si>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</si>
  <si>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</si>
  <si>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</si>
  <si>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</si>
  <si>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</si>
  <si>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</si>
  <si>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</si>
  <si>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</si>
  <si>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</si>
  <si>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</si>
  <si>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</si>
  <si>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</si>
  <si>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</si>
  <si>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</si>
  <si>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</si>
  <si>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</si>
  <si>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</si>
  <si>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</si>
  <si>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</si>
  <si>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</si>
  <si>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</si>
  <si>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</si>
  <si>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</si>
  <si>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</si>
  <si>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</si>
  <si>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</si>
  <si>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</si>
  <si>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</si>
  <si>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</si>
  <si>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</si>
  <si>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</si>
  <si>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</si>
  <si>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</si>
  <si>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</si>
  <si>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</si>
  <si>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</si>
  <si>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</si>
  <si>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</si>
  <si>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</si>
  <si>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</si>
  <si>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</si>
  <si>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</si>
  <si>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</si>
  <si>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</si>
  <si>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</si>
  <si>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</si>
  <si>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</si>
  <si>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</si>
  <si>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</si>
  <si>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</si>
  <si>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</si>
  <si>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</si>
  <si>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</si>
  <si>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</si>
  <si>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</si>
  <si>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</si>
  <si>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</si>
  <si>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</si>
  <si>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</si>
  <si>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</si>
  <si>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</si>
  <si>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</si>
  <si>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</si>
  <si>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</si>
  <si>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</si>
  <si>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</si>
  <si>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</si>
  <si>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</si>
  <si>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</si>
  <si>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</si>
  <si>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</si>
  <si>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</si>
  <si>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</si>
  <si>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</si>
  <si>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</si>
  <si>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</si>
  <si>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</si>
  <si>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</si>
  <si>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</si>
  <si>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</si>
  <si>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</si>
  <si>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</si>
  <si>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</si>
  <si>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</si>
  <si>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</si>
  <si>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</si>
  <si>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</si>
  <si>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</si>
  <si>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</si>
  <si>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</si>
  <si>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</si>
  <si>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</si>
  <si>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</si>
  <si>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</si>
  <si>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</si>
  <si>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</si>
  <si>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</si>
  <si>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</si>
  <si>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</si>
  <si>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</si>
  <si>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</si>
  <si>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</si>
  <si>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</si>
  <si>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</si>
  <si>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</si>
  <si>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</si>
  <si>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</si>
  <si>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</si>
  <si>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</si>
  <si>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</si>
  <si>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</si>
  <si>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</si>
  <si>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</si>
  <si>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</si>
  <si>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</si>
  <si>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</si>
  <si>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</si>
  <si>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</si>
  <si>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</si>
  <si>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</si>
  <si>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</si>
  <si>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</si>
  <si>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</si>
  <si>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</si>
  <si>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</si>
  <si>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</si>
  <si>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</si>
  <si>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</si>
  <si>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</si>
  <si>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</si>
  <si>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</si>
  <si>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</si>
  <si>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</si>
  <si>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</si>
  <si>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</si>
  <si>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</si>
  <si>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</si>
  <si>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</si>
  <si>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</si>
  <si>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</si>
  <si>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</si>
  <si>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</si>
  <si>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</si>
  <si>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</si>
  <si>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</si>
  <si>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</si>
  <si>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</si>
  <si>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</si>
  <si>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</si>
  <si>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</si>
  <si>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</si>
  <si>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</si>
  <si>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</si>
  <si>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</si>
  <si>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</si>
  <si>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</si>
  <si>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</si>
  <si>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</si>
  <si>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</si>
  <si>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</si>
  <si>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</si>
  <si>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</si>
  <si>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</si>
  <si>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</si>
  <si>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</si>
  <si>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</si>
  <si>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</si>
  <si>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</si>
  <si>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</si>
  <si>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</si>
  <si>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</si>
  <si>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</si>
  <si>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</si>
  <si>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</si>
  <si>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</si>
  <si>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</si>
  <si>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</si>
  <si>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</si>
  <si>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</si>
  <si>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</si>
  <si>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</si>
  <si>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</si>
  <si>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</si>
  <si>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</si>
  <si>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</si>
  <si>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</si>
  <si>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</si>
  <si>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</si>
  <si>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</si>
  <si>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</si>
  <si>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</si>
  <si>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</si>
  <si>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</si>
  <si>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</si>
  <si>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</si>
  <si>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</si>
  <si>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</si>
  <si>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</si>
  <si>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</si>
  <si>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</si>
  <si>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</si>
  <si>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</si>
  <si>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</si>
  <si>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</si>
  <si>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</si>
  <si>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</si>
  <si>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</si>
  <si>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</si>
  <si>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</si>
  <si>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</si>
  <si>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</si>
  <si>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</si>
  <si>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</si>
  <si>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</si>
  <si>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</si>
  <si>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</si>
  <si>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</si>
  <si>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</si>
  <si>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</si>
  <si>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</si>
  <si>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</si>
  <si>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</si>
  <si>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</si>
  <si>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</si>
  <si>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</si>
  <si>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</si>
  <si>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</si>
  <si>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</si>
  <si>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</si>
  <si>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</si>
  <si>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</si>
  <si>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</si>
  <si>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</si>
  <si>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</si>
  <si>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</si>
  <si>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</si>
  <si>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</si>
  <si>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</si>
  <si>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</si>
  <si>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</si>
  <si>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</si>
  <si>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</si>
  <si>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</si>
  <si>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</si>
  <si>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</si>
  <si>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</si>
  <si>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</si>
  <si>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</si>
  <si>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</si>
  <si>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</si>
  <si>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</si>
  <si>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</si>
  <si>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</si>
  <si>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</si>
  <si>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</si>
  <si>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</si>
  <si>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</si>
  <si>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</si>
  <si>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</si>
  <si>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</si>
  <si>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</si>
  <si>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</si>
  <si>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</si>
  <si>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</si>
  <si>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</si>
  <si>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</si>
  <si>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</si>
  <si>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</si>
  <si>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</si>
  <si>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</si>
  <si>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</si>
  <si>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</si>
  <si>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</si>
  <si>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</si>
  <si>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</si>
  <si>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</si>
  <si>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</si>
  <si>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</si>
  <si>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</si>
  <si>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</si>
  <si>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</si>
  <si>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</si>
  <si>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</si>
  <si>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</si>
  <si>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</si>
  <si>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</si>
  <si>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</si>
  <si>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</si>
  <si>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</si>
  <si>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</si>
  <si>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</si>
  <si>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</si>
  <si>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</si>
  <si>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</si>
  <si>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</si>
  <si>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</si>
  <si>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</si>
  <si>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</si>
  <si>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</si>
  <si>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</si>
  <si>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</si>
  <si>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</si>
  <si>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</si>
  <si>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</si>
  <si>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</si>
  <si>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</si>
  <si>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</si>
  <si>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</si>
  <si>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</si>
  <si>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</si>
  <si>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</si>
  <si>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</si>
  <si>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</si>
  <si>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</si>
  <si>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</si>
  <si>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</si>
  <si>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</si>
  <si>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</si>
  <si>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</si>
  <si>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</si>
  <si>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</si>
  <si>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</si>
  <si>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</si>
  <si>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</si>
  <si>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</si>
  <si>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</si>
  <si>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</si>
  <si>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</si>
  <si>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</si>
  <si>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</si>
  <si>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</si>
  <si>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</si>
  <si>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</si>
  <si>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</si>
  <si>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</si>
  <si>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</si>
  <si>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</si>
  <si>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</si>
  <si>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</si>
  <si>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</si>
  <si>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</si>
  <si>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</si>
  <si>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</si>
  <si>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</si>
  <si>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</si>
  <si>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</si>
  <si>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</si>
  <si>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</si>
  <si>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</si>
  <si>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</si>
  <si>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</si>
  <si>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</si>
  <si>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</si>
  <si>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</si>
  <si>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</si>
  <si>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</si>
  <si>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</si>
  <si>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</si>
  <si>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</si>
  <si>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</si>
  <si>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</si>
  <si>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</si>
  <si>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</si>
  <si>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</si>
  <si>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</si>
  <si>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</si>
  <si>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</si>
  <si>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</si>
  <si>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</si>
  <si>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</si>
  <si>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</si>
  <si>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</si>
  <si>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</si>
  <si>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</si>
  <si>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</si>
  <si>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</si>
  <si>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</si>
  <si>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</si>
  <si>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</si>
  <si>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</si>
  <si>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</si>
  <si>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</si>
  <si>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</si>
  <si>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</si>
  <si>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</si>
  <si>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</si>
  <si>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</si>
  <si>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</si>
  <si>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</si>
  <si>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</si>
  <si>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</si>
  <si>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</si>
  <si>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</si>
  <si>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</si>
  <si>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</si>
  <si>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</si>
  <si>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</si>
  <si>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</si>
  <si>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</si>
  <si>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</si>
  <si>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</si>
  <si>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</si>
  <si>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</si>
  <si>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</si>
  <si>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</si>
  <si>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</si>
  <si>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</si>
  <si>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</si>
  <si>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</si>
  <si>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</si>
  <si>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</si>
  <si>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</si>
  <si>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</si>
  <si>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</si>
  <si>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</si>
  <si>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</si>
  <si>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</si>
  <si>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</si>
  <si>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</si>
  <si>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</si>
  <si>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</si>
  <si>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</si>
  <si>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</si>
  <si>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</si>
  <si>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</si>
  <si>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</si>
  <si>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</si>
  <si>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</si>
  <si>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</si>
  <si>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</si>
  <si>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</si>
  <si>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</si>
  <si>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</si>
  <si>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</si>
  <si>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</si>
  <si>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</si>
  <si>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</si>
  <si>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</si>
  <si>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</si>
  <si>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</si>
  <si>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</si>
  <si>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</si>
  <si>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</si>
  <si>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</si>
  <si>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</si>
  <si>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</si>
  <si>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</si>
  <si>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</si>
  <si>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</si>
  <si>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</si>
  <si>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</si>
  <si>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</si>
  <si>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</si>
  <si>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</si>
  <si>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</si>
  <si>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</si>
  <si>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</si>
  <si>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</si>
  <si>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</si>
  <si>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</si>
  <si>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</si>
  <si>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</si>
  <si>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</si>
  <si>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</si>
  <si>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</si>
  <si>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</si>
  <si>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</si>
  <si>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</si>
  <si>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</si>
  <si>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</si>
  <si>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</si>
  <si>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</si>
  <si>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</si>
  <si>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</si>
  <si>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</si>
  <si>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</si>
  <si>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</si>
  <si>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</si>
  <si>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</si>
  <si>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</si>
  <si>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</si>
  <si>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</si>
  <si>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</si>
  <si>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</si>
  <si>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</si>
  <si>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</si>
  <si>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</si>
  <si>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</si>
  <si>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</si>
  <si>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</si>
  <si>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</si>
  <si>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</si>
  <si>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</si>
  <si>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</si>
  <si>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</si>
  <si>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</si>
  <si>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</si>
  <si>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</si>
  <si>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</si>
  <si>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</si>
  <si>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</si>
  <si>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</si>
  <si>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</si>
  <si>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</si>
  <si>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</si>
  <si>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</si>
  <si>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</si>
  <si>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</si>
  <si>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</si>
  <si>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</si>
  <si>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</si>
  <si>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</si>
  <si>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</si>
  <si>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</si>
  <si>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</si>
  <si>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</si>
  <si>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</si>
  <si>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</si>
  <si>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</si>
  <si>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</si>
  <si>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</si>
  <si>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</si>
  <si>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</si>
  <si>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</si>
  <si>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</si>
  <si>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</si>
  <si>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</si>
  <si>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</si>
  <si>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</si>
  <si>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</si>
  <si>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</si>
  <si>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</si>
  <si>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</si>
  <si>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</si>
  <si>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</si>
  <si>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</si>
  <si>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</si>
  <si>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</si>
  <si>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</si>
  <si>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</si>
  <si>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</si>
  <si>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</si>
  <si>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</si>
  <si>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</si>
  <si>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</si>
  <si>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</si>
  <si>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</si>
  <si>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</si>
  <si>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</si>
  <si>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</si>
  <si>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</si>
  <si>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</si>
  <si>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</si>
  <si>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</si>
  <si>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</si>
  <si>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</si>
  <si>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</si>
  <si>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</si>
  <si>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</si>
  <si>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</si>
  <si>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</si>
  <si>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</si>
  <si>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</si>
  <si>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</si>
  <si>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</si>
  <si>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</si>
  <si>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</si>
  <si>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</si>
  <si>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</si>
  <si>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</si>
  <si>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</si>
  <si>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</si>
  <si>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</si>
  <si>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</si>
  <si>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</si>
  <si>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</si>
  <si>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</si>
  <si>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</si>
  <si>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</si>
  <si>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</si>
  <si>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</si>
  <si>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</si>
  <si>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</si>
  <si>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</si>
  <si>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</si>
  <si>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</si>
  <si>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</si>
  <si>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</si>
  <si>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</si>
  <si>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</si>
  <si>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</si>
  <si>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</si>
  <si>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</si>
  <si>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</si>
  <si>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</si>
  <si>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</si>
  <si>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</si>
  <si>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</si>
  <si>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</si>
  <si>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</si>
  <si>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</si>
  <si>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</si>
  <si>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</si>
  <si>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</si>
  <si>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</si>
  <si>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</si>
  <si>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</si>
  <si>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</si>
  <si>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</si>
  <si>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</si>
  <si>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</si>
  <si>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</si>
  <si>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</si>
  <si>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</si>
  <si>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</si>
  <si>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</si>
  <si>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</si>
  <si>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</si>
  <si>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</si>
  <si>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</si>
  <si>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</si>
  <si>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</si>
  <si>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</si>
  <si>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</si>
  <si>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</si>
  <si>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</si>
  <si>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</si>
  <si>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</si>
  <si>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</si>
  <si>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</si>
  <si>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</si>
  <si>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</si>
  <si>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</si>
  <si>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</si>
  <si>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</si>
  <si>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</si>
  <si>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</si>
  <si>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</si>
  <si>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</si>
  <si>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</si>
  <si>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</si>
  <si>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</si>
  <si>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</si>
  <si>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</si>
  <si>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</si>
  <si>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</si>
  <si>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</si>
  <si>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</si>
  <si>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</si>
  <si>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</si>
  <si>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</si>
  <si>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</si>
  <si>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</si>
  <si>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</si>
  <si>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</si>
  <si>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</si>
  <si>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</si>
  <si>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</si>
  <si>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</si>
  <si>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</si>
  <si>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</si>
  <si>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</si>
  <si>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</si>
  <si>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</si>
  <si>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</si>
  <si>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</si>
  <si>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</si>
  <si>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</si>
  <si>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</si>
  <si>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</si>
  <si>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</si>
  <si>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</si>
  <si>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</si>
  <si>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</si>
  <si>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</si>
  <si>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</si>
  <si>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</si>
  <si>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</si>
  <si>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</si>
  <si>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</si>
  <si>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</si>
  <si>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</si>
  <si>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</si>
  <si>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</si>
  <si>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</si>
  <si>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</si>
  <si>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</si>
  <si>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</si>
  <si>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</si>
  <si>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</si>
  <si>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</si>
  <si>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</si>
  <si>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</si>
  <si>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</si>
  <si>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</si>
  <si>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</si>
  <si>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</si>
  <si>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</si>
  <si>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</si>
  <si>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</si>
  <si>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</si>
  <si>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</si>
  <si>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</si>
  <si>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</si>
  <si>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</si>
  <si>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</si>
  <si>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</si>
  <si>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</si>
  <si>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</si>
  <si>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</si>
  <si>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</si>
  <si>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</si>
  <si>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</si>
  <si>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</si>
  <si>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</si>
  <si>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</si>
  <si>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</si>
  <si>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</si>
  <si>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</si>
  <si>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</si>
  <si>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</si>
  <si>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</si>
  <si>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</si>
  <si>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</si>
  <si>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</si>
  <si>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</si>
  <si>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</si>
  <si>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</si>
  <si>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</si>
  <si>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</si>
  <si>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</si>
  <si>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</si>
  <si>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</si>
  <si>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</si>
  <si>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</si>
  <si>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</si>
  <si>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</si>
  <si>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</si>
  <si>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</si>
  <si>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</si>
  <si>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</si>
  <si>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</si>
  <si>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</si>
  <si>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</si>
  <si>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</si>
  <si>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</si>
  <si>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</si>
  <si>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</si>
  <si>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</si>
  <si>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</si>
  <si>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</si>
  <si>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</si>
  <si>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</si>
  <si>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</si>
  <si>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</si>
  <si>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</si>
  <si>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</si>
  <si>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</si>
  <si>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</si>
  <si>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</si>
  <si>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</si>
  <si>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</si>
  <si>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</si>
  <si>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</si>
  <si>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</si>
  <si>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</si>
  <si>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</si>
  <si>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</si>
  <si>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</si>
  <si>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</si>
  <si>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</si>
  <si>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</si>
  <si>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</si>
  <si>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</si>
  <si>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</si>
  <si>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</si>
  <si>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</si>
  <si>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</si>
  <si>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</si>
  <si>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</si>
  <si>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</si>
  <si>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</si>
  <si>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</si>
  <si>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</si>
  <si>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</si>
  <si>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</si>
  <si>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</si>
  <si>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</si>
  <si>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</si>
  <si>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</si>
  <si>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</si>
  <si>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</si>
  <si>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</si>
  <si>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</si>
  <si>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</si>
  <si>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</si>
  <si>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</si>
  <si>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</si>
  <si>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</si>
  <si>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</si>
  <si>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</si>
  <si>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</si>
  <si>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</si>
  <si>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</si>
  <si>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</si>
  <si>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</si>
  <si>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</si>
  <si>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</si>
  <si>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</si>
  <si>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</si>
  <si>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</si>
  <si>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</si>
  <si>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</si>
  <si>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</si>
  <si>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</si>
  <si>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</si>
  <si>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</si>
  <si>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</si>
  <si>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</si>
  <si>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</si>
  <si>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</si>
  <si>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</si>
  <si>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</si>
  <si>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</si>
  <si>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</si>
  <si>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</si>
  <si>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</si>
  <si>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</si>
  <si>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</si>
  <si>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</si>
  <si>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</si>
  <si>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</si>
  <si>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</si>
  <si>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</si>
  <si>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</si>
  <si>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</si>
  <si>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</si>
  <si>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</si>
  <si>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</si>
  <si>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</si>
  <si>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</si>
  <si>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</si>
  <si>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</si>
  <si>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</si>
  <si>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</si>
  <si>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</si>
  <si>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</si>
  <si>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</si>
  <si>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</si>
  <si>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</si>
  <si>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</si>
  <si>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</si>
  <si>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</si>
  <si>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</si>
  <si>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</si>
  <si>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</si>
  <si>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</si>
  <si>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</si>
  <si>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</si>
  <si>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</si>
  <si>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</si>
  <si>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</si>
  <si>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</si>
  <si>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</si>
  <si>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</si>
  <si>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</si>
  <si>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</si>
  <si>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</si>
  <si>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</si>
  <si>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</si>
  <si>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</si>
  <si>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</si>
  <si>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</si>
  <si>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</si>
  <si>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</si>
  <si>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</si>
  <si>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</si>
  <si>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</si>
  <si>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</si>
  <si>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</si>
  <si>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</si>
  <si>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</si>
  <si>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</si>
  <si>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</si>
  <si>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</si>
  <si>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</si>
  <si>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</si>
  <si>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</si>
  <si>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</si>
  <si>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</si>
  <si>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</si>
  <si>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</si>
  <si>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</si>
  <si>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</si>
  <si>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</si>
  <si>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</si>
  <si>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</si>
  <si>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</si>
  <si>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</si>
  <si>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</si>
  <si>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</si>
  <si>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</si>
  <si>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</si>
  <si>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</si>
  <si>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</si>
  <si>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</si>
  <si>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</si>
  <si>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</si>
  <si>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</si>
  <si>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</si>
  <si>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</si>
  <si>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</si>
  <si>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</si>
  <si>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</si>
  <si>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</si>
  <si>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</si>
  <si>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</si>
  <si>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</si>
  <si>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</si>
  <si>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</si>
  <si>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</si>
  <si>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</si>
  <si>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</si>
  <si>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</si>
  <si>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</si>
  <si>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</si>
  <si>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</si>
  <si>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</si>
  <si>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</si>
  <si>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</si>
  <si>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</si>
  <si>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</si>
  <si>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</si>
  <si>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</si>
  <si>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</si>
  <si>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</si>
  <si>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</si>
  <si>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</si>
  <si>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</si>
  <si>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</si>
  <si>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</si>
  <si>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</si>
  <si>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</si>
  <si>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</si>
  <si>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</si>
  <si>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</si>
  <si>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</si>
  <si>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</si>
  <si>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</si>
  <si>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</si>
  <si>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</si>
  <si>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</si>
  <si>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</si>
  <si>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</si>
  <si>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</si>
  <si>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</si>
  <si>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</si>
  <si>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</si>
  <si>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</si>
  <si>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</si>
  <si>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</si>
  <si>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</si>
  <si>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</si>
  <si>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</si>
  <si>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</si>
  <si>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</si>
  <si>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</si>
  <si>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</si>
  <si>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</si>
  <si>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</si>
  <si>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</si>
  <si>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</si>
  <si>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</si>
  <si>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</si>
  <si>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</si>
  <si>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</si>
  <si>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</si>
  <si>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</si>
  <si>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</si>
  <si>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</si>
  <si>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</si>
  <si>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</si>
  <si>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</si>
  <si>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</si>
  <si>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</si>
  <si>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</si>
  <si>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</si>
  <si>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</si>
  <si>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</si>
  <si>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</si>
  <si>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</si>
  <si>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</si>
  <si>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</si>
  <si>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</si>
  <si>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</si>
  <si>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</si>
  <si>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</si>
  <si>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</si>
  <si>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</si>
  <si>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</si>
  <si>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</si>
  <si>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</si>
  <si>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</si>
  <si>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</si>
  <si>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</si>
  <si>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</si>
  <si>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</si>
  <si>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</si>
  <si>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</si>
  <si>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</si>
  <si>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</si>
  <si>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</si>
  <si>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</si>
  <si>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</si>
  <si>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</si>
  <si>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</si>
  <si>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</si>
  <si>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</si>
  <si>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</si>
  <si>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</si>
  <si>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</si>
  <si>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</si>
  <si>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</si>
  <si>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</si>
  <si>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</si>
  <si>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</si>
  <si>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</si>
  <si>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</si>
  <si>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</si>
  <si>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</si>
  <si>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</si>
  <si>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</si>
  <si>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</si>
  <si>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</si>
  <si>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</si>
  <si>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</si>
  <si>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</si>
  <si>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</si>
  <si>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</si>
  <si>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</si>
  <si>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</si>
  <si>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</si>
  <si>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</si>
  <si>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</si>
  <si>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</si>
  <si>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</si>
  <si>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</si>
  <si>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</si>
  <si>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</si>
  <si>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</si>
  <si>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</si>
  <si>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</si>
  <si>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</si>
  <si>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</si>
  <si>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</si>
  <si>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</si>
  <si>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</si>
  <si>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</si>
  <si>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</si>
  <si>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</si>
  <si>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</si>
  <si>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</si>
  <si>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</si>
  <si>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</si>
  <si>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</si>
  <si>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</si>
  <si>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</si>
  <si>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</si>
  <si>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</si>
  <si>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</si>
  <si>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</si>
  <si>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</si>
  <si>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</si>
  <si>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</si>
  <si>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</si>
  <si>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</si>
  <si>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</si>
  <si>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</si>
  <si>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</si>
  <si>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</si>
  <si>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</si>
  <si>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</si>
  <si>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</si>
  <si>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</si>
  <si>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</si>
  <si>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</si>
  <si>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</si>
  <si>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</si>
  <si>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</si>
  <si>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</si>
  <si>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</si>
  <si>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</si>
  <si>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</si>
  <si>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</si>
  <si>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</si>
  <si>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</si>
  <si>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</si>
  <si>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</si>
  <si>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</si>
  <si>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</si>
  <si>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</si>
  <si>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</si>
  <si>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</si>
  <si>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</si>
  <si>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</si>
  <si>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</si>
  <si>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</si>
  <si>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</si>
  <si>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</si>
  <si>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</si>
  <si>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</si>
  <si>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</si>
  <si>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</si>
  <si>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</si>
  <si>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</si>
  <si>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</si>
  <si>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</si>
  <si>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</si>
  <si>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</si>
  <si>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</si>
  <si>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</si>
  <si>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</si>
  <si>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</si>
  <si>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</si>
  <si>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</si>
  <si>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</si>
  <si>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</si>
  <si>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</si>
  <si>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</si>
  <si>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</si>
  <si>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</si>
  <si>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</si>
  <si>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</si>
  <si>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</si>
  <si>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</si>
  <si>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</si>
  <si>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</si>
  <si>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</si>
  <si>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</si>
  <si>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</si>
  <si>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</si>
  <si>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</si>
  <si>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</si>
  <si>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</si>
  <si>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</si>
  <si>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</si>
  <si>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</si>
  <si>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</si>
  <si>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</si>
  <si>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</si>
  <si>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</si>
  <si>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</si>
  <si>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</si>
  <si>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</si>
  <si>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</si>
  <si>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</si>
  <si>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</si>
  <si>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</si>
  <si>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</si>
  <si>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</si>
  <si>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</si>
  <si>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</si>
  <si>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</si>
  <si>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</si>
  <si>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</si>
  <si>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</si>
  <si>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</si>
  <si>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</si>
  <si>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</si>
  <si>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</si>
  <si>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</si>
  <si>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</si>
  <si>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</si>
  <si>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</si>
  <si>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</si>
  <si>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</si>
  <si>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</si>
  <si>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</si>
  <si>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</si>
  <si>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</si>
  <si>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</si>
  <si>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</si>
  <si>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</si>
  <si>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</si>
  <si>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</si>
  <si>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</si>
  <si>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</si>
  <si>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</si>
  <si>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</si>
  <si>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</si>
  <si>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</si>
  <si>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</si>
  <si>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</si>
  <si>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</si>
  <si>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</si>
  <si>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</si>
  <si>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</si>
  <si>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</si>
  <si>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</si>
  <si>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</si>
  <si>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</si>
  <si>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</si>
  <si>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</si>
  <si>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</si>
  <si>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</si>
  <si>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</si>
  <si>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</si>
  <si>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</si>
  <si>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</si>
  <si>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</si>
  <si>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</si>
  <si>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</si>
  <si>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</si>
  <si>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</si>
  <si>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</si>
  <si>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</si>
  <si>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</si>
  <si>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</si>
  <si>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</si>
  <si>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</si>
  <si>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</si>
  <si>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</si>
  <si>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</si>
  <si>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</si>
  <si>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</si>
  <si>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</si>
  <si>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</si>
  <si>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</si>
  <si>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</si>
  <si>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</si>
  <si>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</si>
  <si>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</si>
  <si>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</si>
  <si>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</si>
  <si>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</si>
  <si>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</si>
  <si>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</si>
  <si>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</si>
  <si>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</si>
  <si>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</si>
  <si>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</si>
  <si>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</si>
  <si>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</si>
  <si>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</si>
  <si>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</si>
  <si>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</si>
  <si>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</si>
  <si>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</si>
  <si>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</si>
  <si>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</si>
  <si>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</si>
  <si>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</si>
  <si>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</si>
  <si>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</si>
  <si>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</si>
  <si>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</si>
  <si>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</si>
  <si>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</si>
  <si>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</si>
  <si>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</si>
  <si>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</si>
  <si>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</si>
  <si>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</si>
  <si>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</si>
  <si>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</si>
  <si>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</si>
  <si>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</si>
  <si>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</si>
  <si>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</si>
  <si>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</si>
  <si>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</si>
  <si>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</si>
  <si>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</si>
  <si>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</si>
  <si>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</si>
  <si>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</si>
  <si>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</si>
  <si>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</si>
  <si>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</si>
  <si>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</si>
  <si>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</si>
  <si>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</si>
  <si>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</si>
  <si>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</si>
  <si>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</si>
  <si>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</si>
  <si>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</si>
  <si>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</si>
  <si>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</si>
  <si>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</si>
  <si>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</si>
  <si>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</si>
  <si>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</si>
  <si>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</si>
  <si>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</si>
  <si>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</si>
  <si>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</si>
  <si>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</si>
  <si>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</si>
  <si>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</si>
  <si>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</si>
  <si>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</si>
  <si>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</si>
  <si>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</si>
  <si>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</si>
  <si>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</si>
  <si>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</si>
  <si>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</si>
  <si>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</si>
  <si>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</si>
  <si>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</si>
  <si>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</si>
  <si>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</si>
  <si>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</si>
  <si>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</si>
  <si>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</si>
  <si>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</si>
  <si>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</si>
  <si>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</si>
  <si>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</si>
  <si>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</si>
  <si>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</si>
  <si>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</si>
  <si>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</si>
  <si>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</si>
  <si>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</si>
  <si>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</si>
  <si>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</si>
  <si>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</si>
  <si>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</si>
  <si>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</si>
  <si>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</si>
  <si>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</si>
  <si>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</si>
  <si>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</si>
  <si>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</si>
  <si>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</si>
  <si>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</si>
  <si>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</si>
  <si>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</si>
  <si>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</si>
  <si>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</si>
  <si>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</si>
  <si>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</si>
  <si>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</si>
  <si>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</si>
  <si>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</si>
  <si>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</si>
  <si>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</si>
  <si>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</si>
  <si>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</si>
  <si>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</si>
  <si>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</si>
  <si>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</si>
  <si>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</si>
  <si>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</si>
  <si>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</si>
  <si>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</si>
  <si>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</si>
  <si>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</si>
  <si>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</si>
  <si>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</si>
  <si>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</si>
  <si>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</si>
  <si>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</si>
  <si>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</si>
  <si>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</si>
  <si>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</si>
  <si>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</si>
  <si>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</si>
  <si>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</si>
  <si>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</si>
  <si>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</si>
  <si>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</si>
  <si>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</si>
  <si>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</si>
  <si>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</si>
  <si>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</si>
  <si>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</si>
  <si>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</si>
  <si>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</si>
  <si>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</si>
  <si>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</si>
  <si>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</si>
  <si>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</si>
  <si>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</si>
  <si>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</si>
  <si>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</si>
  <si>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</si>
  <si>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</si>
  <si>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</si>
  <si>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</si>
  <si>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</si>
  <si>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</si>
  <si>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</si>
  <si>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</si>
  <si>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</si>
  <si>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</si>
  <si>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</si>
  <si>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</si>
  <si>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</si>
  <si>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</si>
  <si>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</si>
  <si>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</si>
  <si>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</si>
  <si>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</si>
  <si>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</si>
  <si>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</si>
  <si>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</si>
  <si>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</si>
  <si>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</si>
  <si>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</si>
  <si>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</si>
  <si>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</si>
  <si>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</si>
  <si>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</si>
  <si>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</si>
  <si>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</si>
  <si>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</si>
  <si>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</si>
  <si>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</si>
  <si>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</si>
  <si>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</si>
  <si>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</si>
  <si>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</si>
  <si>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</si>
  <si>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</si>
  <si>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</si>
  <si>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</si>
  <si>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</si>
  <si>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</si>
  <si>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</si>
  <si>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</si>
  <si>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</si>
  <si>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</si>
  <si>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</si>
  <si>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</si>
  <si>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</si>
  <si>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</si>
  <si>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</si>
  <si>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</si>
  <si>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</si>
  <si>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</si>
  <si>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</si>
  <si>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</si>
  <si>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</si>
  <si>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</si>
  <si>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</si>
  <si>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</si>
  <si>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</si>
  <si>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</si>
  <si>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</si>
  <si>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</si>
  <si>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</si>
  <si>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</si>
  <si>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</si>
  <si>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</si>
  <si>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</si>
  <si>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</si>
  <si>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</si>
  <si>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</si>
  <si>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</si>
  <si>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</si>
  <si>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</si>
  <si>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</si>
  <si>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</si>
  <si>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</si>
  <si>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</si>
  <si>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</si>
  <si>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</si>
  <si>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</si>
  <si>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</si>
  <si>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</si>
  <si>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</si>
  <si>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</si>
  <si>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</si>
  <si>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</si>
  <si>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</si>
  <si>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</si>
  <si>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</si>
  <si>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</si>
  <si>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</si>
  <si>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</si>
  <si>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</si>
  <si>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</si>
  <si>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</si>
  <si>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</si>
  <si>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</si>
  <si>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</si>
  <si>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</si>
  <si>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</si>
  <si>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</si>
  <si>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</si>
  <si>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</si>
  <si>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</si>
  <si>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</si>
  <si>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</si>
  <si>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</si>
  <si>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</si>
  <si>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</si>
  <si>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</si>
  <si>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</si>
  <si>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</si>
  <si>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</si>
  <si>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</si>
  <si>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</si>
  <si>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</si>
  <si>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</si>
  <si>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</si>
  <si>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</si>
  <si>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</si>
  <si>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</si>
  <si>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</si>
  <si>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</si>
  <si>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</si>
  <si>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</si>
  <si>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</si>
  <si>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</si>
  <si>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</si>
  <si>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</si>
  <si>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</si>
  <si>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</si>
  <si>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</si>
  <si>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</si>
  <si>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</si>
  <si>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</si>
  <si>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</si>
  <si>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</si>
  <si>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</si>
  <si>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</si>
  <si>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</si>
  <si>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</si>
  <si>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</si>
  <si>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</si>
  <si>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</si>
  <si>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</si>
  <si>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</si>
  <si>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</si>
  <si>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</si>
  <si>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</si>
  <si>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</si>
  <si>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</si>
  <si>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</si>
  <si>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</si>
  <si>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</si>
  <si>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</si>
  <si>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</si>
  <si>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</si>
  <si>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</si>
  <si>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</si>
  <si>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</si>
  <si>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</si>
  <si>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</si>
  <si>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</si>
  <si>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</si>
  <si>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</si>
  <si>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</si>
  <si>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</si>
  <si>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</si>
  <si>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</si>
  <si>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</si>
  <si>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</si>
  <si>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</si>
  <si>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</si>
  <si>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</si>
  <si>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</si>
  <si>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</si>
  <si>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</si>
  <si>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</si>
  <si>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</si>
  <si>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</si>
  <si>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</si>
  <si>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</si>
  <si>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</si>
  <si>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</si>
  <si>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</si>
  <si>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</si>
  <si>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</si>
  <si>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</si>
  <si>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</si>
  <si>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</si>
  <si>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</si>
  <si>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</si>
  <si>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</si>
  <si>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</si>
  <si>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</si>
  <si>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</si>
  <si>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</si>
  <si>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</si>
  <si>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</si>
  <si>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</si>
  <si>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</si>
  <si>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</si>
  <si>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</si>
  <si>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</si>
  <si>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</si>
  <si>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</si>
  <si>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</si>
  <si>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</si>
  <si>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</si>
  <si>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</si>
  <si>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</si>
  <si>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</si>
  <si>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</si>
  <si>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</si>
  <si>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</si>
  <si>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</si>
  <si>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</si>
  <si>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</si>
  <si>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</si>
  <si>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</si>
  <si>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</si>
  <si>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</si>
  <si>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</si>
  <si>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</si>
  <si>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</si>
  <si>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</si>
  <si>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</si>
  <si>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</si>
  <si>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</si>
  <si>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</si>
  <si>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</si>
  <si>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</si>
  <si>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</si>
  <si>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</si>
  <si>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</si>
  <si>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</si>
  <si>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</si>
  <si>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</si>
  <si>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</si>
  <si>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</si>
  <si>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</si>
  <si>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</si>
  <si>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</si>
  <si>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</si>
  <si>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</si>
  <si>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</si>
  <si>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</si>
  <si>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</si>
  <si>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</si>
  <si>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</si>
  <si>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</si>
  <si>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</si>
  <si>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</si>
  <si>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</si>
  <si>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</si>
  <si>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</si>
  <si>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</si>
  <si>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</si>
  <si>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</si>
  <si>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</si>
  <si>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</si>
  <si>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</si>
  <si>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</si>
  <si>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</si>
  <si>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</si>
  <si>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</si>
  <si>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</si>
  <si>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</si>
  <si>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</si>
  <si>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</si>
  <si>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</si>
  <si>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</si>
  <si>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</si>
  <si>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</si>
  <si>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</si>
  <si>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</si>
  <si>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</si>
  <si>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</si>
  <si>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</si>
  <si>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</si>
  <si>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</si>
  <si>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</si>
  <si>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</si>
  <si>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</si>
  <si>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</si>
  <si>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</si>
  <si>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</si>
  <si>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</si>
  <si>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</si>
  <si>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</si>
  <si>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</si>
  <si>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</si>
  <si>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</si>
  <si>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</si>
  <si>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</si>
  <si>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</si>
  <si>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</si>
  <si>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</si>
  <si>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</si>
  <si>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</si>
  <si>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</si>
  <si>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</si>
  <si>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</si>
  <si>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</si>
  <si>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</si>
  <si>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</si>
  <si>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</si>
  <si>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</si>
  <si>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</si>
  <si>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</si>
  <si>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</si>
  <si>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</si>
  <si>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</si>
  <si>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</si>
  <si>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</si>
  <si>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</si>
  <si>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</si>
  <si>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</si>
  <si>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</si>
  <si>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</si>
  <si>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</si>
  <si>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</si>
  <si>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</si>
  <si>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</si>
  <si>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</si>
  <si>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</si>
  <si>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</si>
  <si>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</si>
  <si>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</si>
  <si>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</si>
  <si>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</si>
  <si>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</si>
  <si>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</si>
  <si>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</si>
  <si>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</si>
  <si>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</si>
  <si>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</si>
  <si>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</si>
  <si>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</si>
  <si>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</si>
  <si>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</si>
  <si>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</si>
  <si>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</si>
  <si>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</si>
  <si>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</si>
  <si>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</si>
  <si>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</si>
  <si>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</si>
  <si>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</si>
  <si>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</si>
  <si>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</si>
  <si>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</si>
  <si>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</si>
  <si>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</si>
  <si>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</si>
  <si>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</si>
  <si>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</si>
  <si>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</si>
  <si>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</si>
  <si>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</si>
  <si>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</si>
  <si>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</si>
  <si>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</si>
  <si>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</si>
  <si>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</si>
  <si>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</si>
  <si>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</si>
  <si>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</si>
  <si>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</si>
  <si>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</si>
  <si>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</si>
  <si>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</si>
  <si>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</si>
  <si>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</si>
  <si>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</si>
  <si>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</si>
  <si>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</si>
  <si>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</si>
  <si>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</si>
  <si>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</si>
  <si>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</si>
  <si>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</si>
  <si>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</si>
  <si>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</si>
  <si>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</si>
  <si>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</si>
  <si>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</si>
  <si>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</si>
  <si>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</si>
  <si>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</si>
  <si>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</si>
  <si>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</si>
  <si>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</si>
  <si>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</si>
  <si>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</si>
  <si>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</si>
  <si>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</si>
  <si>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</si>
  <si>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</si>
  <si>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</si>
  <si>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</si>
  <si>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</si>
  <si>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</si>
  <si>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</si>
  <si>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</si>
  <si>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</si>
  <si>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</si>
  <si>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</si>
  <si>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</si>
  <si>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</si>
  <si>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</si>
  <si>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</si>
  <si>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</si>
  <si>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</si>
  <si>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</si>
  <si>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</si>
  <si>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</si>
  <si>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</si>
  <si>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</si>
  <si>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</si>
  <si>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</si>
  <si>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</si>
  <si>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</si>
  <si>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</si>
  <si>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</si>
  <si>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</si>
  <si>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</si>
  <si>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</si>
  <si>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</si>
  <si>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</si>
  <si>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</si>
  <si>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</si>
  <si>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</si>
  <si>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</si>
  <si>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</si>
  <si>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</si>
  <si>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</si>
  <si>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</si>
  <si>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</si>
  <si>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</si>
  <si>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</si>
  <si>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</si>
  <si>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</si>
  <si>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</si>
  <si>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</si>
  <si>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</si>
  <si>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</si>
  <si>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</si>
  <si>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</si>
  <si>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</si>
  <si>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</si>
  <si>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</si>
  <si>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</si>
  <si>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</si>
  <si>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</si>
  <si>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</si>
  <si>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</si>
  <si>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</si>
  <si>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</si>
  <si>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</si>
  <si>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</si>
  <si>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</si>
  <si>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</si>
  <si>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</si>
  <si>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</si>
  <si>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</si>
  <si>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</si>
  <si>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</si>
  <si>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</si>
  <si>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</si>
  <si>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</si>
  <si>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</si>
  <si>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</si>
  <si>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</si>
  <si>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</si>
  <si>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</si>
  <si>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</si>
  <si>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</si>
  <si>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</si>
  <si>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</si>
  <si>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</si>
  <si>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</si>
  <si>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</si>
  <si>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</si>
  <si>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</si>
  <si>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</si>
  <si>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</si>
  <si>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</si>
  <si>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</si>
  <si>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</si>
  <si>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</si>
  <si>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</si>
  <si>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</si>
  <si>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</si>
  <si>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</si>
  <si>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</si>
  <si>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</si>
  <si>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</si>
  <si>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</si>
  <si>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</si>
  <si>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</si>
  <si>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</si>
  <si>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</si>
  <si>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</si>
  <si>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</si>
  <si>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</si>
  <si>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</si>
  <si>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</si>
  <si>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</si>
  <si>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</si>
  <si>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</si>
  <si>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</si>
  <si>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</si>
  <si>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</si>
  <si>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</si>
  <si>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</si>
  <si>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</si>
  <si>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</si>
  <si>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</si>
  <si>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</si>
  <si>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</si>
  <si>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</si>
  <si>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</si>
  <si>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</si>
  <si>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</si>
  <si>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</si>
  <si>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</si>
  <si>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</si>
  <si>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</si>
  <si>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</si>
  <si>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</si>
  <si>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</si>
  <si>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</si>
  <si>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</si>
  <si>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</si>
  <si>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</si>
  <si>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</si>
  <si>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</si>
  <si>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</si>
  <si>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</si>
  <si>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</si>
  <si>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</si>
  <si>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</si>
  <si>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</si>
  <si>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</si>
  <si>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</si>
  <si>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</si>
  <si>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</si>
  <si>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</si>
  <si>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</si>
  <si>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</si>
  <si>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</si>
  <si>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</si>
  <si>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</si>
  <si>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</si>
  <si>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</si>
  <si>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</si>
  <si>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</si>
  <si>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</si>
  <si>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</si>
  <si>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</si>
  <si>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</si>
  <si>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</si>
  <si>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</si>
  <si>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</si>
  <si>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</si>
  <si>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</si>
  <si>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</si>
  <si>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</si>
  <si>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</si>
  <si>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</si>
  <si>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</si>
  <si>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</si>
  <si>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</si>
  <si>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</si>
  <si>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</si>
  <si>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</si>
  <si>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</si>
  <si>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</si>
  <si>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</si>
  <si>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</si>
  <si>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</si>
  <si>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</si>
  <si>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</si>
  <si>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</si>
  <si>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</si>
  <si>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</si>
  <si>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</si>
  <si>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</si>
  <si>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</si>
  <si>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</si>
  <si>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</si>
  <si>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</si>
  <si>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</si>
  <si>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</si>
  <si>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</si>
  <si>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</si>
  <si>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</si>
  <si>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</si>
  <si>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</si>
  <si>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</si>
  <si>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</si>
  <si>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</si>
  <si>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</si>
  <si>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</si>
  <si>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</si>
  <si>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</si>
  <si>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</si>
  <si>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</si>
  <si>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</si>
  <si>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</si>
  <si>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</si>
  <si>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</si>
  <si>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</si>
  <si>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</si>
  <si>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</si>
  <si>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</si>
  <si>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</si>
  <si>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</si>
  <si>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</si>
  <si>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</si>
  <si>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</si>
  <si>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</si>
  <si>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</si>
  <si>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</si>
  <si>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</si>
  <si>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</si>
  <si>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</si>
  <si>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</si>
  <si>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</si>
  <si>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</si>
  <si>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</si>
  <si>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</si>
  <si>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</si>
  <si>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</si>
  <si>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</si>
  <si>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</si>
  <si>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</si>
  <si>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</si>
  <si>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</si>
  <si>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</si>
  <si>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</si>
  <si>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</si>
  <si>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</si>
  <si>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</si>
  <si>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</si>
  <si>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</si>
  <si>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</si>
  <si>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</si>
  <si>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</si>
  <si>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</si>
  <si>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</si>
  <si>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</si>
  <si>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</si>
  <si>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</si>
  <si>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</si>
  <si>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</si>
  <si>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</si>
  <si>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</si>
  <si>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</si>
  <si>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</si>
  <si>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</si>
  <si>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</si>
  <si>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</si>
  <si>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</si>
  <si>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</si>
  <si>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</si>
  <si>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</si>
  <si>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</si>
  <si>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</si>
  <si>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</si>
  <si>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</si>
  <si>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</si>
  <si>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</si>
  <si>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</si>
  <si>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</si>
  <si>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</si>
  <si>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</si>
  <si>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</si>
  <si>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</si>
  <si>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</si>
  <si>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</si>
  <si>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</si>
  <si>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</si>
  <si>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</si>
  <si>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</si>
  <si>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</si>
  <si>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</si>
  <si>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</si>
  <si>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</si>
  <si>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</si>
  <si>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</si>
  <si>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</si>
  <si>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</si>
  <si>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</si>
  <si>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</si>
  <si>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</si>
  <si>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</si>
  <si>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</si>
  <si>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</si>
  <si>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</si>
  <si>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</si>
  <si>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</si>
  <si>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</si>
  <si>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</si>
  <si>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</si>
  <si>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</si>
  <si>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</si>
  <si>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</si>
  <si>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</si>
  <si>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</si>
  <si>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</si>
  <si>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</si>
  <si>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</si>
  <si>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</si>
  <si>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</si>
  <si>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</si>
  <si>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</si>
  <si>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</si>
  <si>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</si>
  <si>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</si>
  <si>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</si>
  <si>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</si>
  <si>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</si>
  <si>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</si>
  <si>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</si>
  <si>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</si>
  <si>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</si>
  <si>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</si>
  <si>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</si>
  <si>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</si>
  <si>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</si>
  <si>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</si>
  <si>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</si>
  <si>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</si>
  <si>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</si>
  <si>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</si>
  <si>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</si>
  <si>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</si>
  <si>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</si>
  <si>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</si>
  <si>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</si>
  <si>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</si>
  <si>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</si>
  <si>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</si>
  <si>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</si>
  <si>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</si>
  <si>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</si>
  <si>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</si>
  <si>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</si>
  <si>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</si>
  <si>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</si>
  <si>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</si>
  <si>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</si>
  <si>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</si>
  <si>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</si>
  <si>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</si>
  <si>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</si>
  <si>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</si>
  <si>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</si>
  <si>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</si>
  <si>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</si>
  <si>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</si>
  <si>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</si>
  <si>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</si>
  <si>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</si>
  <si>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</si>
  <si>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</si>
  <si>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</si>
  <si>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</si>
  <si>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</si>
  <si>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</si>
  <si>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</si>
  <si>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</si>
  <si>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</si>
  <si>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</si>
  <si>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</si>
  <si>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</si>
  <si>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</si>
  <si>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</si>
  <si>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</si>
  <si>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</si>
  <si>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</si>
  <si>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</si>
  <si>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</si>
  <si>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</si>
  <si>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</si>
  <si>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</si>
  <si>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</si>
  <si>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</si>
  <si>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</si>
  <si>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</si>
  <si>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</si>
  <si>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</si>
  <si>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</si>
  <si>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</si>
  <si>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</si>
  <si>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</si>
  <si>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</si>
  <si>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</si>
  <si>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</si>
  <si>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</si>
  <si>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</si>
  <si>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</si>
  <si>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</si>
  <si>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</si>
  <si>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</si>
  <si>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</si>
  <si>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</si>
  <si>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</si>
  <si>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</si>
  <si>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</si>
  <si>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</si>
  <si>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</si>
  <si>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</si>
  <si>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</si>
  <si>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</si>
  <si>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</si>
  <si>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</si>
  <si>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</si>
  <si>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</si>
  <si>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</si>
  <si>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</si>
  <si>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</si>
  <si>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</si>
  <si>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</si>
  <si>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</si>
  <si>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</si>
  <si>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</si>
  <si>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</si>
  <si>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</si>
  <si>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</si>
  <si>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</si>
  <si>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</si>
  <si>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</si>
  <si>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</si>
  <si>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</si>
  <si>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</si>
  <si>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</si>
  <si>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</si>
  <si>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</si>
  <si>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</si>
  <si>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</si>
  <si>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</si>
  <si>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</si>
  <si>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</si>
  <si>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</si>
  <si>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</si>
  <si>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</si>
  <si>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</si>
  <si>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</si>
  <si>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</si>
  <si>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</si>
  <si>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</si>
  <si>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</si>
  <si>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</si>
  <si>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</si>
  <si>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</si>
  <si>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</si>
  <si>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</si>
  <si>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</si>
  <si>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</si>
  <si>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</si>
  <si>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</si>
  <si>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</si>
  <si>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</si>
  <si>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</si>
  <si>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</si>
  <si>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</si>
  <si>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</si>
  <si>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</si>
  <si>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</si>
  <si>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</si>
  <si>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</si>
  <si>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</si>
  <si>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</si>
  <si>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</si>
  <si>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</si>
  <si>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</si>
  <si>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</si>
  <si>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</si>
  <si>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</si>
  <si>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</si>
  <si>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</si>
  <si>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</si>
  <si>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</si>
  <si>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</si>
  <si>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</si>
  <si>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</si>
  <si>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</si>
  <si>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</si>
  <si>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</si>
  <si>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</si>
  <si>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</si>
  <si>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</si>
  <si>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</si>
  <si>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</si>
  <si>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</si>
  <si>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</si>
  <si>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</si>
  <si>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</si>
  <si>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</si>
  <si>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</si>
  <si>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</si>
  <si>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</si>
  <si>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</si>
  <si>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</si>
  <si>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</si>
  <si>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</si>
  <si>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</si>
  <si>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</si>
  <si>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</si>
  <si>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</si>
  <si>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</si>
  <si>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</si>
  <si>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</si>
  <si>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</si>
  <si>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</si>
  <si>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</si>
  <si>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</si>
  <si>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</si>
  <si>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</si>
  <si>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</si>
  <si>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</si>
  <si>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</si>
  <si>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</si>
  <si>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</si>
  <si>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</si>
  <si>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</si>
  <si>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</si>
  <si>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</si>
  <si>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</si>
  <si>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</si>
  <si>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</si>
  <si>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</si>
  <si>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</si>
  <si>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</si>
  <si>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</si>
  <si>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</si>
  <si>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</si>
  <si>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</si>
  <si>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</si>
  <si>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</si>
  <si>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</si>
  <si>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</si>
  <si>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</si>
  <si>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</si>
  <si>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</si>
  <si>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</si>
  <si>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</si>
  <si>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</si>
  <si>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</si>
  <si>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</si>
  <si>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</si>
  <si>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</si>
  <si>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</si>
  <si>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</si>
  <si>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</si>
  <si>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</si>
  <si>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</si>
  <si>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</si>
  <si>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</si>
  <si>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</si>
  <si>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</si>
  <si>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</si>
  <si>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</si>
  <si>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</si>
  <si>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</si>
  <si>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</si>
  <si>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</si>
  <si>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</si>
  <si>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</si>
  <si>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</si>
  <si>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</si>
  <si>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</si>
  <si>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</si>
  <si>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</si>
  <si>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</si>
  <si>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</si>
  <si>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</si>
  <si>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</si>
  <si>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</si>
  <si>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</si>
  <si>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</si>
  <si>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</si>
  <si>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</si>
  <si>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</si>
  <si>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</si>
  <si>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</si>
  <si>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</si>
  <si>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</si>
  <si>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</si>
  <si>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</si>
  <si>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</si>
  <si>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</si>
  <si>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</si>
  <si>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</si>
  <si>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</si>
  <si>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</si>
  <si>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</si>
  <si>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</si>
  <si>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</si>
  <si>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</si>
  <si>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</si>
  <si>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</si>
  <si>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</si>
  <si>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</si>
  <si>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</si>
  <si>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</si>
  <si>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</si>
  <si>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</si>
  <si>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</si>
  <si>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</si>
  <si>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</si>
  <si>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</si>
  <si>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</si>
  <si>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</si>
  <si>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</si>
  <si>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</si>
  <si>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</si>
  <si>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</si>
  <si>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</si>
  <si>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</si>
  <si>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</si>
  <si>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</si>
  <si>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</si>
  <si>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</si>
  <si>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</si>
  <si>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</si>
  <si>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</si>
  <si>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</si>
  <si>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</si>
  <si>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</si>
  <si>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</si>
  <si>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</si>
  <si>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</si>
  <si>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</si>
  <si>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</si>
  <si>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</si>
  <si>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</si>
  <si>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</si>
  <si>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</si>
  <si>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</si>
  <si>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</si>
  <si>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</si>
  <si>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</si>
  <si>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</si>
  <si>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</si>
  <si>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</si>
  <si>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</si>
  <si>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</si>
  <si>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</si>
  <si>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</si>
  <si>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</si>
  <si>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</si>
  <si>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</si>
  <si>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</si>
  <si>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</si>
  <si>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</si>
  <si>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</si>
  <si>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</si>
  <si>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</si>
  <si>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</si>
  <si>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</si>
  <si>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</si>
  <si>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</si>
  <si>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</si>
  <si>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</si>
  <si>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</si>
  <si>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</si>
  <si>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</si>
  <si>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</si>
  <si>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</si>
  <si>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</si>
  <si>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</si>
  <si>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</si>
  <si>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</si>
  <si>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</si>
  <si>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</si>
  <si>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</si>
  <si>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</si>
  <si>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</si>
  <si>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</si>
  <si>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</si>
  <si>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</si>
  <si>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</si>
  <si>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</si>
  <si>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</si>
  <si>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</si>
  <si>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</si>
  <si>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</si>
  <si>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</si>
  <si>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</si>
  <si>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</si>
  <si>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</si>
  <si>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</si>
  <si>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</si>
  <si>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</si>
  <si>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</si>
  <si>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</si>
  <si>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</si>
  <si>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</si>
  <si>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</si>
  <si>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</si>
  <si>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</si>
  <si>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</si>
  <si>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</si>
  <si>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</si>
  <si>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</si>
  <si>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</si>
  <si>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</si>
  <si>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</si>
  <si>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</si>
  <si>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</si>
  <si>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</si>
  <si>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</si>
  <si>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</si>
  <si>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</si>
  <si>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</si>
  <si>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</si>
  <si>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</si>
  <si>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</si>
  <si>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</si>
  <si>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</si>
  <si>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</si>
  <si>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</si>
  <si>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</si>
  <si>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</si>
  <si>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</si>
  <si>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</si>
  <si>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</si>
  <si>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</si>
  <si>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</si>
  <si>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</si>
  <si>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</si>
  <si>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</si>
  <si>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</si>
  <si>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</si>
  <si>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</si>
  <si>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</si>
  <si>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</si>
  <si>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</si>
  <si>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</si>
  <si>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</si>
  <si>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</si>
  <si>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</si>
  <si>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</si>
  <si>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</si>
  <si>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</si>
  <si>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</si>
  <si>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</si>
  <si>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</si>
  <si>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</si>
  <si>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</si>
  <si>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</si>
  <si>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</si>
  <si>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</si>
  <si>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</si>
  <si>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</si>
  <si>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</si>
  <si>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</si>
  <si>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</si>
  <si>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</si>
  <si>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</si>
  <si>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</si>
  <si>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</si>
  <si>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</si>
  <si>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</si>
  <si>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</si>
  <si>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</si>
  <si>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</si>
  <si>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</si>
  <si>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</si>
  <si>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</si>
  <si>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</si>
  <si>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</si>
  <si>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</si>
  <si>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</si>
  <si>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</si>
  <si>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</si>
  <si>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</si>
  <si>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</si>
  <si>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</si>
  <si>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</si>
  <si>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</si>
  <si>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</si>
  <si>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</si>
  <si>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</si>
  <si>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</si>
  <si>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</si>
  <si>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</si>
  <si>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</si>
  <si>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</si>
  <si>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</si>
  <si>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</si>
  <si>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</si>
  <si>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</si>
  <si>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</si>
  <si>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</si>
  <si>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</si>
  <si>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</si>
  <si>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</si>
  <si>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</si>
  <si>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</si>
  <si>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</si>
  <si>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</si>
  <si>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</si>
  <si>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</si>
  <si>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</si>
  <si>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</si>
  <si>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</si>
  <si>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</si>
  <si>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</si>
  <si>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</si>
  <si>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</si>
  <si>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</si>
  <si>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</si>
  <si>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</si>
  <si>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</si>
  <si>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</si>
  <si>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</si>
  <si>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</si>
  <si>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</si>
  <si>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</si>
  <si>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</si>
  <si>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</si>
  <si>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</si>
  <si>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</si>
  <si>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</si>
  <si>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</si>
  <si>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</si>
  <si>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</si>
  <si>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</si>
  <si>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</si>
  <si>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</si>
  <si>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</si>
  <si>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</si>
  <si>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</si>
  <si>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</si>
  <si>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</si>
  <si>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</si>
  <si>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</si>
  <si>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</si>
  <si>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</si>
  <si>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</si>
  <si>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</si>
  <si>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</si>
  <si>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</si>
  <si>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</si>
  <si>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</si>
  <si>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</si>
  <si>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</si>
  <si>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</si>
  <si>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</si>
  <si>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</si>
  <si>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</si>
  <si>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</si>
  <si>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</si>
  <si>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</si>
  <si>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</si>
  <si>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</si>
  <si>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</si>
  <si>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</si>
  <si>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</si>
  <si>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</si>
  <si>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</si>
  <si>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</si>
  <si>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</si>
  <si>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</si>
  <si>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</si>
  <si>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</si>
  <si>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</si>
  <si>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</si>
  <si>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</si>
  <si>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</si>
  <si>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</si>
  <si>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</si>
  <si>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</si>
  <si>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</si>
  <si>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</si>
  <si>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</si>
  <si>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</si>
  <si>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</si>
  <si>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</si>
  <si>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</si>
  <si>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</si>
  <si>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</si>
  <si>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</si>
  <si>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</si>
  <si>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</si>
  <si>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</si>
  <si>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</si>
  <si>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</si>
  <si>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</si>
  <si>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</si>
  <si>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</si>
  <si>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</si>
  <si>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</si>
  <si>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</si>
  <si>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</si>
  <si>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</si>
  <si>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</si>
  <si>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</si>
  <si>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</si>
  <si>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</si>
  <si>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</si>
  <si>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</si>
  <si>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</si>
  <si>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</si>
  <si>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</si>
  <si>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</si>
  <si>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</si>
  <si>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</si>
  <si>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</si>
  <si>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</si>
  <si>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</si>
  <si>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</si>
  <si>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</si>
  <si>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</si>
  <si>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</si>
  <si>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</si>
  <si>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</si>
  <si>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</si>
  <si>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</si>
  <si>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</si>
  <si>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</si>
  <si>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</si>
  <si>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</si>
  <si>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</si>
  <si>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</si>
  <si>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</si>
  <si>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</si>
  <si>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</si>
  <si>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</si>
  <si>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</si>
  <si>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</si>
  <si>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</si>
  <si>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</si>
  <si>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</si>
  <si>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</si>
  <si>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</si>
  <si>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</si>
  <si>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</si>
  <si>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</si>
  <si>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</si>
  <si>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</si>
  <si>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</si>
  <si>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</si>
  <si>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</si>
  <si>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</si>
  <si>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</si>
  <si>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</si>
  <si>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</si>
  <si>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</si>
  <si>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</si>
  <si>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</si>
  <si>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</si>
  <si>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</si>
  <si>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</si>
  <si>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</si>
  <si>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</si>
  <si>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</si>
  <si>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</si>
  <si>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</si>
  <si>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</si>
  <si>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</si>
  <si>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</si>
  <si>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</si>
  <si>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</si>
  <si>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</si>
  <si>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</si>
  <si>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</si>
  <si>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</si>
  <si>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</si>
  <si>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</si>
  <si>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</si>
  <si>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</si>
  <si>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</si>
  <si>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</si>
  <si>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</si>
  <si>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</si>
  <si>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</si>
  <si>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</si>
  <si>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</si>
  <si>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</si>
  <si>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</si>
  <si>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</si>
  <si>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</si>
  <si>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</si>
  <si>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</si>
  <si>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</si>
  <si>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</si>
  <si>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</si>
  <si>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</si>
  <si>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</si>
  <si>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</si>
  <si>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</si>
  <si>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</si>
  <si>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</si>
  <si>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</si>
  <si>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</si>
  <si>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</si>
  <si>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</si>
  <si>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</si>
  <si>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</si>
  <si>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</si>
  <si>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</si>
  <si>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</si>
  <si>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</si>
  <si>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</si>
  <si>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</si>
  <si>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</si>
  <si>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</si>
  <si>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</si>
  <si>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</si>
  <si>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</si>
  <si>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</si>
  <si>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</si>
  <si>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</si>
  <si>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</si>
  <si>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</si>
  <si>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</si>
  <si>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</si>
  <si>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</si>
  <si>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</si>
  <si>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</si>
  <si>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</si>
  <si>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</si>
  <si>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</si>
  <si>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</si>
  <si>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</si>
  <si>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</si>
  <si>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</si>
  <si>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</si>
  <si>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</si>
  <si>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</si>
  <si>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</si>
  <si>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</si>
  <si>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</si>
  <si>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</si>
  <si>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</si>
  <si>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</si>
  <si>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</si>
  <si>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</si>
  <si>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</si>
  <si>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</si>
  <si>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</si>
  <si>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</si>
  <si>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</si>
  <si>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</si>
  <si>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</si>
  <si>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</si>
  <si>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</si>
  <si>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</si>
  <si>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</si>
  <si>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</si>
  <si>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</si>
  <si>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</si>
  <si>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</si>
  <si>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</si>
  <si>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</si>
  <si>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</si>
  <si>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</si>
  <si>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</si>
  <si>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</si>
  <si>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</si>
  <si>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</si>
  <si>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</si>
  <si>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</si>
  <si>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</si>
  <si>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</si>
  <si>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</si>
  <si>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</si>
  <si>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</si>
  <si>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</si>
  <si>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</si>
  <si>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</si>
  <si>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</si>
  <si>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</si>
  <si>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</si>
  <si>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</si>
  <si>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</si>
  <si>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</si>
  <si>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</si>
  <si>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</si>
  <si>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</si>
  <si>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</si>
  <si>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</si>
  <si>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</si>
  <si>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</si>
  <si>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</si>
  <si>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</si>
  <si>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</si>
  <si>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</si>
  <si>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</si>
  <si>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</si>
  <si>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</si>
  <si>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</si>
  <si>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</si>
  <si>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</si>
  <si>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</si>
  <si>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</si>
  <si>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</si>
  <si>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</si>
  <si>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</si>
  <si>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</si>
  <si>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</si>
  <si>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</si>
  <si>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</si>
  <si>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</si>
  <si>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</si>
  <si>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</si>
  <si>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</si>
  <si>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</si>
  <si>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</si>
  <si>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</si>
  <si>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</si>
  <si>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</si>
  <si>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</si>
  <si>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</si>
  <si>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</si>
  <si>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</si>
  <si>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</si>
  <si>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</si>
  <si>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</si>
  <si>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</si>
  <si>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</si>
  <si>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</si>
  <si>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</si>
  <si>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</si>
  <si>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</si>
  <si>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</si>
  <si>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</si>
  <si>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</si>
  <si>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</si>
  <si>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</si>
  <si>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</si>
  <si>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</si>
  <si>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</si>
  <si>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</si>
  <si>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</si>
  <si>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</si>
  <si>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</si>
  <si>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</si>
  <si>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</si>
  <si>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</si>
  <si>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</si>
  <si>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</si>
  <si>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</si>
  <si>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</si>
  <si>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</si>
  <si>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</si>
  <si>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</si>
  <si>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</si>
  <si>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</si>
  <si>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</si>
  <si>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</si>
  <si>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</si>
  <si>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</si>
  <si>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</si>
  <si>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</si>
  <si>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</si>
  <si>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</si>
  <si>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</si>
  <si>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</si>
  <si>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</si>
  <si>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</si>
  <si>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</si>
  <si>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</si>
  <si>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</si>
  <si>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</si>
  <si>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</si>
  <si>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</si>
  <si>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</si>
  <si>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</si>
  <si>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</si>
  <si>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</si>
  <si>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</si>
  <si>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</si>
  <si>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</si>
  <si>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</si>
  <si>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</si>
  <si>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</si>
  <si>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</si>
  <si>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</si>
  <si>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</si>
  <si>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</si>
  <si>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</si>
  <si>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</si>
  <si>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</si>
  <si>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</si>
  <si>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</si>
  <si>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</si>
  <si>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</si>
  <si>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</si>
  <si>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</si>
  <si>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</si>
  <si>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</si>
  <si>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</si>
  <si>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</si>
  <si>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</si>
  <si>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</si>
  <si>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</si>
  <si>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</si>
  <si>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</si>
  <si>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</si>
  <si>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</si>
  <si>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</si>
  <si>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</si>
  <si>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</si>
  <si>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</si>
  <si>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</si>
  <si>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</si>
  <si>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</si>
  <si>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</si>
  <si>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</si>
  <si>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</si>
  <si>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</si>
  <si>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</si>
  <si>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</si>
  <si>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</si>
  <si>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</si>
  <si>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</si>
  <si>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</si>
  <si>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</si>
  <si>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</si>
  <si>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</si>
  <si>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</si>
  <si>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</si>
  <si>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</si>
  <si>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</si>
  <si>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</si>
  <si>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</si>
  <si>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</si>
  <si>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</si>
  <si>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</si>
  <si>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</si>
  <si>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</si>
  <si>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</si>
  <si>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</si>
  <si>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</si>
  <si>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</si>
  <si>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</si>
  <si>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</si>
  <si>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</si>
  <si>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</si>
  <si>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</si>
  <si>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</si>
  <si>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</si>
  <si>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</si>
  <si>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</si>
  <si>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</si>
  <si>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</si>
  <si>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</si>
  <si>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</si>
  <si>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</si>
  <si>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</si>
  <si>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</si>
  <si>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</si>
  <si>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</si>
  <si>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</si>
  <si>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</si>
  <si>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</si>
  <si>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</si>
  <si>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</si>
  <si>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</si>
  <si>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</si>
  <si>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</si>
  <si>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</si>
  <si>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</si>
  <si>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</si>
  <si>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</si>
  <si>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</si>
  <si>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</si>
  <si>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</si>
  <si>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</si>
  <si>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</si>
  <si>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</si>
  <si>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</si>
  <si>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</si>
  <si>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</si>
  <si>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</si>
  <si>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</si>
  <si>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</si>
  <si>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</si>
  <si>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</si>
  <si>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</si>
  <si>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</si>
  <si>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</si>
  <si>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</si>
  <si>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</si>
  <si>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</si>
  <si>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</si>
  <si>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</si>
  <si>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</si>
  <si>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</si>
  <si>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</si>
  <si>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</si>
  <si>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</si>
  <si>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</si>
  <si>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</si>
  <si>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</si>
  <si>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</si>
  <si>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</si>
  <si>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</si>
  <si>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</si>
  <si>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</si>
  <si>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</si>
  <si>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</si>
  <si>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</si>
  <si>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</si>
  <si>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</si>
  <si>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</si>
  <si>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</si>
  <si>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</si>
  <si>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</si>
  <si>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</si>
  <si>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</si>
  <si>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</si>
  <si>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</si>
  <si>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</si>
  <si>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</si>
  <si>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</si>
  <si>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</si>
  <si>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</si>
  <si>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</si>
  <si>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</si>
  <si>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</si>
  <si>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</si>
  <si>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</si>
  <si>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</si>
  <si>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</si>
  <si>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</si>
  <si>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</si>
  <si>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</si>
  <si>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</si>
  <si>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</si>
  <si>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</si>
  <si>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</si>
  <si>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</si>
  <si>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</si>
  <si>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</si>
  <si>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</si>
  <si>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</si>
  <si>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</si>
  <si>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</si>
  <si>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</si>
  <si>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</si>
  <si>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</si>
  <si>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</si>
  <si>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</si>
  <si>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</si>
  <si>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</si>
  <si>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</si>
  <si>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</si>
  <si>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</si>
  <si>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</si>
  <si>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</si>
  <si>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</si>
  <si>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</si>
  <si>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</si>
  <si>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</si>
  <si>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</si>
  <si>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</si>
  <si>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</si>
  <si>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</si>
  <si>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</si>
  <si>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</si>
  <si>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</si>
  <si>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</si>
  <si>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</si>
  <si>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</si>
  <si>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</si>
  <si>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</si>
  <si>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</si>
  <si>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</si>
  <si>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</si>
  <si>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</si>
  <si>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</si>
  <si>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</si>
  <si>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</si>
  <si>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</si>
  <si>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</si>
  <si>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</si>
  <si>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</si>
  <si>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</si>
  <si>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</si>
  <si>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</si>
  <si>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</si>
  <si>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</si>
  <si>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</si>
  <si>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</si>
  <si>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</si>
  <si>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</si>
  <si>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</si>
  <si>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</si>
  <si>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</si>
  <si>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</si>
  <si>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</si>
  <si>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</si>
  <si>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</si>
  <si>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</si>
  <si>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</si>
  <si>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</si>
  <si>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</si>
  <si>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</si>
  <si>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</si>
  <si>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</si>
  <si>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</si>
  <si>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</si>
  <si>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</si>
  <si>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</si>
  <si>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</si>
  <si>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</si>
  <si>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</si>
  <si>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</si>
  <si>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</si>
  <si>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</si>
  <si>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</si>
  <si>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</si>
  <si>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</si>
  <si>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</si>
  <si>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</si>
  <si>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</si>
  <si>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</si>
  <si>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</si>
  <si>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</si>
  <si>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</si>
  <si>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</si>
  <si>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</si>
  <si>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</si>
  <si>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</si>
  <si>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</si>
  <si>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</si>
  <si>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</si>
  <si>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</si>
  <si>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</si>
  <si>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</si>
  <si>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</si>
  <si>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</si>
  <si>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</si>
  <si>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</si>
  <si>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</si>
  <si>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</si>
  <si>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</si>
  <si>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</si>
  <si>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</si>
  <si>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</si>
  <si>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</si>
  <si>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</si>
  <si>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</si>
  <si>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</si>
  <si>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</si>
  <si>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</si>
  <si>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</si>
  <si>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</si>
  <si>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</si>
  <si>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</si>
  <si>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</si>
  <si>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</si>
  <si>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</si>
  <si>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</si>
  <si>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</si>
  <si>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</si>
  <si>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</si>
  <si>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</si>
  <si>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</si>
  <si>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</si>
  <si>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</si>
  <si>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</si>
  <si>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</si>
  <si>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</si>
  <si>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</si>
  <si>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</si>
  <si>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</si>
  <si>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</si>
  <si>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</si>
  <si>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</si>
  <si>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</si>
  <si>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</si>
  <si>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</si>
  <si>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</si>
  <si>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</si>
  <si>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</si>
  <si>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</si>
  <si>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</si>
  <si>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</si>
  <si>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</si>
  <si>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</si>
  <si>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</si>
  <si>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</si>
  <si>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</si>
  <si>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</si>
  <si>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</si>
  <si>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</si>
  <si>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</si>
  <si>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</si>
  <si>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</si>
  <si>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</si>
  <si>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</si>
  <si>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</si>
  <si>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</si>
  <si>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</si>
  <si>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</si>
  <si>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</si>
  <si>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</si>
  <si>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</si>
  <si>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</si>
  <si>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</si>
  <si>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</si>
  <si>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</si>
  <si>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</si>
  <si>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</si>
  <si>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</si>
  <si>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</si>
  <si>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</si>
  <si>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</si>
  <si>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</si>
  <si>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</si>
  <si>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</si>
  <si>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</si>
  <si>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</si>
  <si>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</si>
  <si>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</si>
  <si>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</si>
  <si>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</si>
  <si>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</si>
  <si>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</si>
  <si>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</si>
  <si>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</si>
  <si>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</si>
  <si>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</si>
  <si>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</si>
  <si>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</si>
  <si>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</si>
  <si>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</si>
  <si>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</si>
  <si>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</si>
  <si>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</si>
  <si>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</si>
  <si>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</si>
  <si>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</si>
  <si>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</si>
  <si>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</si>
  <si>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</si>
  <si>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</si>
  <si>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</si>
  <si>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</si>
  <si>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</si>
  <si>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</si>
  <si>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</si>
  <si>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</si>
  <si>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</si>
  <si>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</si>
  <si>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</si>
  <si>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</si>
  <si>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</si>
  <si>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</si>
  <si>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</si>
  <si>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</si>
  <si>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</si>
  <si>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</si>
  <si>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</si>
  <si>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</si>
  <si>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</si>
  <si>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</si>
  <si>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</si>
  <si>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</si>
  <si>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</si>
  <si>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</si>
  <si>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</si>
  <si>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</si>
  <si>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</si>
  <si>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</si>
  <si>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</si>
  <si>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</si>
  <si>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</si>
  <si>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</si>
  <si>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</si>
  <si>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</si>
  <si>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</si>
  <si>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</si>
  <si>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</si>
  <si>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</si>
  <si>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</si>
  <si>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</si>
  <si>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</si>
  <si>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</si>
  <si>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</si>
  <si>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</si>
  <si>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</si>
  <si>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</si>
  <si>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</si>
  <si>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</si>
  <si>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</si>
  <si>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</si>
  <si>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</si>
  <si>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</si>
  <si>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</si>
  <si>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</si>
  <si>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</si>
  <si>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</si>
  <si>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</si>
  <si>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</si>
  <si>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</si>
  <si>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</si>
  <si>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</si>
  <si>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</si>
  <si>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</si>
  <si>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</si>
  <si>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</si>
  <si>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</si>
  <si>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</si>
  <si>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</si>
  <si>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</si>
  <si>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</si>
  <si>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</si>
  <si>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</si>
  <si>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</si>
  <si>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</si>
  <si>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</si>
  <si>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</si>
  <si>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</si>
  <si>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</si>
  <si>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</si>
  <si>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</si>
  <si>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</si>
  <si>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</si>
  <si>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</si>
  <si>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</si>
  <si>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</si>
  <si>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</si>
  <si>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</si>
  <si>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</si>
  <si>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</si>
  <si>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</si>
  <si>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</si>
  <si>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</si>
  <si>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</si>
  <si>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</si>
  <si>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</si>
  <si>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</si>
  <si>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</si>
  <si>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</si>
  <si>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</si>
  <si>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</si>
  <si>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</si>
  <si>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</si>
  <si>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</si>
  <si>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</si>
  <si>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</si>
  <si>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</si>
  <si>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</si>
  <si>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</si>
  <si>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</si>
  <si>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</si>
  <si>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</si>
  <si>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</si>
  <si>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</si>
  <si>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</si>
  <si>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</si>
  <si>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</si>
  <si>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</si>
  <si>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</si>
  <si>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</si>
  <si>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</si>
  <si>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</si>
  <si>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</si>
  <si>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</si>
  <si>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</si>
  <si>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</si>
  <si>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</si>
  <si>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</si>
  <si>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</si>
  <si>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</si>
  <si>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</si>
  <si>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</si>
  <si>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</si>
  <si>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</si>
  <si>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</si>
  <si>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</si>
  <si>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</si>
  <si>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</si>
  <si>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</si>
  <si>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</si>
  <si>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</si>
  <si>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</si>
  <si>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</si>
  <si>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</si>
  <si>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</si>
  <si>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</si>
  <si>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</si>
  <si>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</si>
  <si>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</si>
  <si>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</si>
  <si>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</si>
  <si>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</si>
  <si>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</si>
  <si>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</si>
  <si>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</si>
  <si>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</si>
  <si>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</si>
  <si>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</si>
  <si>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</si>
  <si>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</si>
  <si>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</si>
  <si>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</si>
  <si>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</si>
  <si>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</si>
  <si>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</si>
  <si>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</si>
  <si>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</si>
  <si>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</si>
  <si>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</si>
  <si>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</si>
  <si>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</si>
  <si>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</si>
  <si>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</si>
  <si>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</si>
  <si>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</si>
  <si>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</si>
  <si>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</si>
  <si>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</si>
  <si>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</si>
  <si>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</si>
  <si>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</si>
  <si>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</si>
  <si>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</si>
  <si>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</si>
  <si>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</si>
  <si>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</si>
  <si>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</si>
  <si>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</si>
  <si>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</si>
  <si>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</si>
  <si>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</si>
  <si>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</si>
  <si>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</si>
  <si>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</si>
  <si>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</si>
  <si>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</si>
  <si>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</si>
  <si>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</si>
  <si>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</si>
  <si>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</si>
  <si>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</si>
  <si>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</si>
  <si>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</si>
  <si>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</si>
  <si>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</si>
  <si>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</si>
  <si>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</si>
  <si>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</si>
  <si>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</si>
  <si>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</si>
  <si>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</si>
  <si>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</si>
  <si>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</si>
  <si>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</si>
  <si>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</si>
  <si>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</si>
  <si>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</si>
  <si>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</si>
  <si>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</si>
  <si>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</si>
  <si>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</si>
  <si>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</si>
  <si>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</si>
  <si>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</si>
  <si>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</si>
  <si>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</si>
  <si>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</si>
  <si>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</si>
  <si>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</si>
  <si>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</si>
  <si>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</si>
  <si>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</si>
  <si>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</si>
  <si>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</si>
  <si>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</si>
  <si>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</si>
  <si>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</si>
  <si>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</si>
  <si>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</si>
  <si>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</si>
  <si>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</si>
  <si>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</si>
  <si>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</si>
  <si>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</si>
  <si>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</si>
  <si>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</si>
  <si>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</si>
  <si>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</si>
  <si>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</si>
  <si>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</si>
  <si>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</si>
  <si>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</si>
  <si>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</si>
  <si>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</si>
  <si>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</si>
  <si>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</si>
  <si>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</si>
  <si>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</si>
  <si>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</si>
  <si>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</si>
  <si>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</si>
  <si>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</si>
  <si>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</si>
  <si>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</si>
  <si>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</si>
  <si>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</si>
  <si>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</si>
  <si>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</si>
  <si>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</si>
  <si>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</si>
  <si>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</si>
  <si>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</si>
  <si>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</si>
  <si>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</si>
  <si>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</si>
  <si>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</si>
  <si>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</si>
  <si>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</si>
  <si>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</si>
  <si>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</si>
  <si>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</si>
  <si>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</si>
  <si>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</si>
  <si>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</si>
  <si>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</si>
  <si>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</si>
  <si>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</si>
  <si>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</si>
  <si>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</si>
  <si>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</si>
  <si>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</si>
  <si>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</si>
  <si>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</si>
  <si>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</si>
  <si>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</si>
  <si>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</si>
  <si>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</si>
  <si>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</si>
  <si>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</si>
  <si>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</si>
  <si>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</si>
  <si>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</si>
  <si>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</si>
  <si>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</si>
  <si>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</si>
  <si>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</si>
  <si>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</si>
  <si>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</si>
  <si>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</si>
  <si>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</si>
  <si>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</si>
  <si>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</si>
  <si>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</si>
  <si>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</si>
  <si>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</si>
  <si>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</si>
  <si>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</si>
  <si>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</si>
  <si>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</si>
  <si>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</si>
  <si>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</si>
  <si>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</si>
  <si>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</si>
  <si>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</si>
  <si>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</si>
  <si>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</si>
  <si>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</si>
  <si>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</si>
  <si>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</si>
  <si>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</si>
  <si>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</si>
  <si>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</si>
  <si>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</si>
  <si>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</si>
  <si>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</si>
  <si>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</si>
  <si>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</si>
  <si>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</si>
  <si>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</si>
  <si>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</si>
  <si>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</si>
  <si>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</si>
  <si>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</si>
  <si>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</si>
  <si>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</si>
  <si>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</si>
  <si>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</si>
  <si>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</si>
  <si>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</si>
  <si>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</si>
  <si>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</si>
  <si>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</si>
  <si>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</si>
  <si>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</si>
  <si>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</si>
  <si>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</si>
  <si>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</si>
  <si>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</si>
  <si>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</si>
  <si>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</si>
  <si>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</si>
  <si>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</si>
  <si>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</si>
  <si>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</si>
  <si>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</si>
  <si>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</si>
  <si>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</si>
  <si>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</si>
  <si>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</si>
  <si>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</si>
  <si>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</si>
  <si>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</si>
  <si>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</si>
  <si>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</si>
  <si>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</si>
  <si>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</si>
  <si>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</si>
  <si>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</si>
  <si>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</si>
  <si>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</si>
  <si>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</si>
  <si>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</si>
  <si>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</si>
  <si>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</si>
  <si>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</si>
  <si>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</si>
  <si>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</si>
  <si>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</si>
  <si>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</si>
  <si>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</si>
  <si>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</si>
  <si>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</si>
  <si>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</si>
  <si>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</si>
  <si>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</si>
  <si>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</si>
  <si>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</si>
  <si>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</si>
  <si>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</si>
  <si>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</si>
  <si>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</si>
  <si>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</si>
  <si>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</si>
  <si>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</si>
  <si>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</si>
  <si>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</si>
  <si>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</si>
  <si>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</si>
  <si>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</si>
  <si>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</si>
  <si>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</si>
  <si>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</si>
  <si>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</si>
  <si>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</si>
  <si>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</si>
  <si>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</si>
  <si>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</si>
  <si>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</si>
  <si>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</si>
  <si>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</si>
  <si>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</si>
  <si>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</si>
  <si>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</si>
  <si>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</si>
  <si>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</si>
  <si>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</si>
  <si>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</si>
  <si>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</si>
  <si>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</si>
  <si>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</si>
  <si>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</si>
  <si>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</si>
  <si>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</si>
  <si>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</si>
  <si>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</si>
  <si>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</si>
  <si>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</si>
  <si>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</si>
  <si>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</si>
  <si>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</si>
  <si>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</si>
  <si>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</si>
  <si>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</si>
  <si>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</si>
  <si>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</si>
  <si>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</si>
  <si>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</si>
  <si>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</si>
  <si>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</si>
  <si>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</si>
  <si>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</si>
  <si>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</si>
  <si>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</si>
  <si>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</si>
  <si>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</si>
  <si>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</si>
  <si>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</si>
  <si>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</si>
  <si>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</si>
  <si>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</si>
  <si>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</si>
  <si>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</si>
  <si>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</si>
  <si>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</si>
  <si>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</si>
  <si>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</si>
  <si>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</si>
  <si>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</si>
  <si>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</si>
  <si>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</si>
  <si>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</si>
  <si>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</si>
  <si>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</si>
  <si>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</si>
  <si>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</si>
  <si>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</si>
  <si>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</si>
  <si>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</si>
  <si>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</si>
  <si>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</si>
  <si>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</si>
  <si>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</si>
  <si>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</si>
  <si>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</si>
  <si>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</si>
  <si>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</si>
  <si>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</si>
  <si>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</si>
  <si>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</si>
  <si>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</si>
  <si>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</si>
  <si>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</si>
  <si>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</si>
  <si>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</si>
  <si>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</si>
  <si>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</si>
  <si>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</si>
  <si>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</si>
  <si>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</si>
  <si>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</si>
  <si>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</si>
  <si>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</si>
  <si>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</si>
  <si>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</si>
  <si>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</si>
  <si>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</si>
  <si>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</si>
  <si>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</si>
  <si>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</si>
  <si>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</si>
  <si>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</si>
  <si>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</si>
  <si>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</si>
  <si>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</si>
  <si>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</si>
  <si>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</si>
  <si>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</si>
  <si>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</si>
  <si>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</si>
  <si>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</si>
  <si>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</si>
  <si>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</si>
  <si>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</si>
  <si>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</si>
  <si>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</si>
  <si>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</si>
  <si>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</si>
  <si>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</si>
  <si>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</si>
  <si>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</si>
  <si>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</si>
  <si>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</si>
  <si>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</si>
  <si>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</si>
  <si>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</si>
  <si>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</si>
  <si>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</si>
  <si>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</si>
  <si>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</si>
  <si>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</si>
  <si>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</si>
  <si>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</si>
  <si>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</si>
  <si>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</si>
  <si>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</si>
  <si>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</si>
  <si>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</si>
  <si>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</si>
  <si>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</si>
  <si>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</si>
  <si>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</si>
  <si>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</si>
  <si>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</si>
  <si>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</si>
  <si>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</si>
  <si>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</si>
  <si>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</si>
  <si>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</si>
  <si>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</si>
  <si>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</si>
  <si>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</si>
  <si>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</si>
  <si>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</si>
  <si>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</si>
  <si>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</si>
  <si>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</si>
  <si>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</si>
  <si>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</si>
  <si>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</si>
  <si>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</si>
  <si>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</si>
  <si>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</si>
  <si>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</si>
  <si>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</si>
  <si>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</si>
  <si>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</si>
  <si>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</si>
  <si>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</si>
  <si>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</si>
  <si>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</si>
  <si>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</si>
  <si>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</si>
  <si>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</si>
  <si>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</si>
  <si>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</si>
  <si>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</si>
  <si>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</si>
  <si>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</si>
  <si>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</si>
  <si>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</si>
  <si>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</si>
  <si>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</si>
  <si>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</si>
  <si>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</si>
  <si>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</si>
  <si>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</si>
  <si>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</si>
  <si>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</si>
  <si>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</si>
  <si>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</si>
  <si>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</si>
  <si>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</si>
  <si>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</si>
  <si>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</si>
  <si>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</si>
  <si>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</si>
  <si>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</si>
  <si>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</si>
  <si>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</si>
  <si>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</si>
  <si>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</si>
  <si>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</si>
  <si>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</si>
  <si>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</si>
  <si>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</si>
  <si>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</si>
  <si>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</si>
  <si>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</si>
  <si>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</si>
  <si>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</si>
  <si>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</si>
  <si>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</si>
  <si>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</si>
  <si>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</si>
  <si>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</si>
  <si>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</si>
  <si>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</si>
  <si>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</si>
  <si>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</si>
  <si>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</si>
  <si>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</si>
  <si>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</si>
  <si>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</si>
  <si>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</si>
  <si>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</si>
  <si>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</si>
  <si>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</si>
  <si>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</si>
  <si>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</si>
  <si>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</si>
  <si>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</si>
  <si>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</si>
  <si>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</si>
  <si>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</si>
  <si>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</si>
  <si>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</si>
  <si>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</si>
  <si>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</si>
  <si>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</si>
  <si>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</si>
  <si>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</si>
  <si>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</si>
  <si>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</si>
  <si>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</si>
  <si>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</si>
  <si>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</si>
  <si>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</si>
  <si>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</si>
  <si>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</si>
  <si>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</si>
  <si>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</si>
  <si>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</si>
  <si>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</si>
  <si>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</si>
  <si>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</si>
  <si>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</si>
  <si>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</si>
  <si>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</si>
  <si>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</si>
  <si>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</si>
  <si>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</si>
  <si>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</si>
  <si>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</si>
  <si>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</si>
  <si>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</si>
  <si>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</si>
  <si>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</si>
  <si>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</si>
  <si>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</si>
  <si>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</si>
  <si>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</si>
  <si>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</si>
  <si>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</si>
  <si>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</si>
  <si>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</si>
  <si>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</si>
  <si>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</si>
  <si>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</si>
  <si>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</si>
  <si>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</si>
  <si>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</si>
  <si>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</si>
  <si>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</si>
  <si>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</si>
  <si>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</si>
  <si>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</si>
  <si>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</si>
  <si>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</si>
  <si>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</si>
  <si>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</si>
  <si>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</si>
  <si>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</si>
  <si>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</si>
  <si>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</si>
  <si>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</si>
  <si>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</si>
  <si>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</si>
  <si>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</si>
  <si>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</si>
  <si>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</si>
  <si>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</si>
  <si>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</si>
  <si>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</si>
  <si>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</si>
  <si>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</si>
  <si>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</si>
  <si>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</si>
  <si>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</si>
  <si>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</si>
  <si>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</si>
  <si>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</si>
  <si>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</si>
  <si>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</si>
  <si>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</si>
  <si>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</si>
  <si>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</si>
  <si>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</si>
  <si>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</si>
  <si>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</si>
  <si>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</si>
  <si>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</si>
  <si>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</si>
  <si>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</si>
  <si>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</si>
  <si>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</si>
  <si>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</si>
  <si>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</si>
  <si>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</si>
  <si>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</si>
  <si>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</si>
  <si>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</si>
  <si>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</si>
  <si>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</si>
  <si>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</si>
  <si>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</si>
  <si>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</si>
  <si>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</si>
  <si>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</si>
  <si>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</si>
  <si>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</si>
  <si>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</si>
  <si>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</si>
  <si>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</si>
  <si>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</si>
  <si>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</si>
  <si>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</si>
  <si>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</si>
  <si>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</si>
  <si>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</si>
  <si>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</si>
  <si>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</si>
  <si>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</si>
  <si>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</si>
  <si>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</si>
  <si>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</si>
  <si>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</si>
  <si>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</si>
  <si>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</si>
  <si>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</si>
  <si>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</si>
  <si>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</si>
  <si>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</si>
  <si>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</si>
  <si>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</si>
  <si>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</si>
  <si>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</si>
  <si>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</si>
  <si>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</si>
  <si>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</si>
  <si>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</si>
  <si>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</si>
  <si>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</si>
  <si>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</si>
  <si>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</si>
  <si>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</si>
  <si>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</si>
  <si>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</si>
  <si>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</si>
  <si>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</si>
  <si>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</si>
  <si>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</si>
  <si>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</si>
  <si>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</si>
  <si>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</si>
  <si>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</si>
  <si>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</si>
  <si>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</si>
  <si>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</si>
  <si>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</si>
  <si>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</si>
  <si>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</si>
  <si>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</si>
  <si>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</si>
  <si>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</si>
  <si>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</si>
  <si>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</si>
  <si>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</si>
  <si>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</si>
  <si>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</si>
  <si>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</si>
  <si>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</si>
  <si>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</si>
  <si>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</si>
  <si>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</si>
  <si>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</si>
  <si>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</si>
  <si>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</si>
  <si>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</si>
  <si>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</si>
  <si>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</si>
  <si>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</si>
  <si>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</si>
  <si>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</si>
  <si>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</si>
  <si>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</si>
  <si>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</si>
  <si>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</si>
  <si>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</si>
  <si>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</si>
  <si>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</si>
  <si>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</si>
  <si>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</si>
  <si>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</si>
  <si>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</si>
  <si>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</si>
  <si>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</si>
  <si>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</si>
  <si>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</si>
  <si>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</si>
  <si>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</si>
  <si>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</si>
  <si>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</si>
  <si>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</si>
  <si>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</si>
  <si>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</si>
  <si>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</si>
  <si>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</si>
  <si>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</si>
  <si>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</si>
  <si>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</si>
  <si>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</si>
  <si>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</si>
  <si>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</si>
  <si>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</si>
  <si>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</si>
  <si>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</si>
  <si>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</si>
  <si>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</si>
  <si>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</si>
  <si>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</si>
  <si>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</si>
  <si>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</si>
  <si>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</si>
  <si>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</si>
  <si>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</si>
  <si>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</si>
  <si>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</si>
  <si>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</si>
  <si>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</si>
  <si>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</si>
  <si>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</si>
  <si>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</si>
  <si>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</si>
  <si>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</si>
  <si>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</si>
  <si>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</si>
  <si>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</si>
  <si>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</si>
  <si>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</si>
  <si>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</si>
  <si>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</si>
  <si>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</si>
  <si>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</si>
  <si>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</si>
  <si>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</si>
  <si>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</si>
  <si>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</si>
  <si>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</si>
  <si>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</si>
  <si>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</si>
  <si>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</si>
  <si>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</si>
  <si>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</si>
  <si>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</si>
  <si>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</si>
  <si>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</si>
  <si>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</si>
  <si>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</si>
  <si>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</si>
  <si>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</si>
  <si>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</si>
  <si>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</si>
  <si>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</si>
  <si>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</si>
  <si>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</si>
  <si>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</si>
  <si>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</si>
  <si>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</si>
  <si>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</si>
  <si>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</si>
  <si>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</si>
  <si>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</si>
  <si>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</si>
  <si>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</si>
  <si>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</si>
  <si>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</si>
  <si>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</si>
  <si>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</si>
  <si>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</si>
  <si>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</si>
  <si>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</si>
  <si>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</si>
  <si>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</si>
  <si>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</si>
  <si>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</si>
  <si>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</si>
  <si>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</si>
  <si>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</si>
  <si>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</si>
  <si>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</si>
  <si>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</si>
  <si>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</si>
  <si>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</si>
  <si>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</si>
  <si>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</si>
  <si>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</si>
  <si>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</si>
  <si>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</si>
  <si>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</si>
  <si>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</si>
  <si>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</si>
  <si>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</si>
  <si>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</si>
  <si>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</si>
  <si>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</si>
  <si>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</si>
  <si>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</si>
  <si>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</si>
  <si>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</si>
  <si>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</si>
  <si>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</si>
  <si>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</si>
  <si>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</si>
  <si>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</si>
  <si>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</si>
  <si>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</si>
  <si>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</si>
  <si>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</si>
  <si>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</si>
  <si>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</si>
  <si>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</si>
  <si>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</si>
  <si>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</si>
  <si>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</si>
  <si>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</si>
  <si>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</si>
  <si>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</si>
  <si>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</si>
  <si>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</si>
  <si>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</si>
  <si>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</si>
  <si>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</si>
  <si>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</si>
  <si>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</si>
  <si>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</si>
  <si>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</si>
  <si>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</si>
  <si>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</si>
  <si>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</si>
  <si>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</si>
  <si>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</si>
  <si>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</si>
  <si>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</si>
  <si>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</si>
  <si>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</si>
  <si>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</si>
  <si>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</si>
  <si>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</si>
  <si>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</si>
  <si>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</si>
  <si>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</si>
  <si>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</si>
  <si>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</si>
  <si>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</si>
  <si>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</si>
  <si>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</si>
  <si>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</si>
  <si>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</si>
  <si>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</si>
  <si>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</si>
  <si>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</si>
  <si>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</si>
  <si>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</si>
  <si>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</si>
  <si>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</si>
  <si>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</si>
  <si>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</si>
  <si>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</si>
  <si>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</si>
  <si>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</si>
  <si>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</si>
  <si>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</si>
  <si>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</si>
  <si>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</si>
  <si>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</si>
  <si>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</si>
  <si>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</si>
  <si>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</si>
  <si>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</si>
  <si>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</si>
  <si>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</si>
  <si>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</si>
  <si>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</si>
  <si>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</si>
  <si>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</si>
  <si>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</si>
  <si>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</si>
  <si>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</si>
  <si>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</si>
  <si>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</si>
  <si>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</si>
  <si>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</si>
  <si>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</si>
  <si>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</si>
  <si>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</si>
  <si>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</si>
  <si>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</si>
  <si>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</si>
  <si>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</si>
  <si>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</si>
  <si>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</si>
  <si>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</si>
  <si>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</si>
  <si>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</si>
  <si>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</si>
  <si>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</si>
  <si>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</si>
  <si>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</si>
  <si>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</si>
  <si>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</si>
  <si>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</si>
  <si>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</si>
  <si>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</si>
  <si>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</si>
  <si>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</si>
  <si>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</si>
  <si>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</si>
  <si>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</si>
  <si>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</si>
  <si>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</si>
  <si>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</si>
  <si>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</si>
  <si>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</si>
  <si>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</si>
  <si>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</si>
  <si>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</si>
  <si>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</si>
  <si>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</si>
  <si>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</si>
  <si>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</si>
  <si>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</si>
  <si>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</si>
  <si>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</si>
  <si>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</si>
  <si>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</si>
  <si>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</si>
  <si>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</si>
  <si>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</si>
  <si>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</si>
  <si>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</si>
  <si>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</si>
  <si>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</si>
  <si>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</si>
  <si>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</si>
  <si>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</si>
  <si>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</si>
  <si>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</si>
  <si>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</si>
  <si>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</si>
  <si>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</si>
  <si>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</si>
  <si>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</si>
  <si>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</si>
  <si>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</si>
  <si>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</si>
  <si>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</si>
  <si>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</si>
  <si>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</si>
  <si>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</si>
  <si>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</si>
  <si>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</si>
  <si>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</si>
  <si>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</si>
  <si>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</si>
  <si>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</si>
  <si>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</si>
  <si>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</si>
  <si>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</si>
  <si>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</si>
  <si>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</si>
  <si>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</si>
  <si>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</si>
  <si>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</si>
  <si>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</si>
  <si>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</si>
  <si>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</si>
  <si>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</si>
  <si>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</si>
  <si>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</si>
  <si>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</si>
  <si>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</si>
  <si>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</si>
  <si>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</si>
  <si>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</si>
  <si>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</si>
  <si>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</si>
  <si>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</si>
  <si>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</si>
  <si>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</si>
  <si>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</si>
  <si>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</si>
  <si>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</si>
  <si>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</si>
  <si>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</si>
  <si>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</si>
  <si>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</si>
  <si>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</si>
  <si>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</si>
  <si>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</si>
  <si>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</si>
  <si>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</si>
  <si>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</si>
  <si>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</si>
  <si>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</si>
  <si>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</si>
  <si>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</si>
  <si>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</si>
  <si>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</si>
  <si>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</si>
  <si>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</si>
  <si>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</si>
  <si>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</si>
  <si>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</si>
  <si>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</si>
  <si>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</si>
  <si>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</si>
  <si>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</si>
  <si>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</si>
  <si>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</si>
  <si>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</si>
  <si>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</si>
  <si>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</si>
  <si>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</si>
  <si>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</si>
  <si>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</si>
  <si>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</si>
  <si>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</si>
  <si>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</si>
  <si>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</si>
  <si>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</si>
  <si>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</si>
  <si>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</si>
  <si>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</si>
  <si>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</si>
  <si>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</si>
  <si>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</si>
  <si>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</si>
  <si>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</si>
  <si>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</si>
  <si>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</si>
  <si>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</si>
  <si>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</si>
  <si>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</si>
  <si>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</si>
  <si>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</si>
  <si>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</si>
  <si>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</si>
  <si>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</si>
  <si>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</si>
  <si>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</si>
  <si>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</si>
  <si>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</si>
  <si>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</si>
  <si>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</si>
  <si>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</si>
  <si>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</si>
  <si>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</si>
  <si>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</si>
  <si>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</si>
  <si>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</si>
  <si>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</si>
  <si>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</si>
  <si>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</si>
  <si>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</si>
  <si>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</si>
  <si>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</si>
  <si>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</si>
  <si>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</si>
  <si>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</si>
  <si>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</si>
  <si>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</si>
  <si>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</si>
  <si>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</si>
  <si>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</si>
  <si>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</si>
  <si>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</si>
  <si>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</si>
  <si>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</si>
  <si>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</si>
  <si>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</si>
  <si>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</si>
  <si>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</si>
  <si>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</si>
  <si>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</si>
  <si>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</si>
  <si>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</si>
  <si>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</si>
  <si>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</si>
  <si>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</si>
  <si>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</si>
  <si>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</si>
  <si>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</si>
  <si>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</si>
  <si>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</si>
  <si>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</si>
  <si>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</si>
  <si>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</si>
  <si>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</si>
  <si>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</si>
  <si>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</si>
  <si>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</si>
  <si>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</si>
  <si>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</si>
  <si>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</si>
  <si>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</si>
  <si>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</si>
  <si>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</si>
  <si>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</si>
  <si>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</si>
  <si>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</si>
  <si>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</si>
  <si>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</si>
  <si>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</si>
  <si>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</si>
  <si>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</si>
  <si>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</si>
  <si>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</si>
  <si>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</si>
  <si>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</si>
  <si>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</si>
  <si>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</si>
  <si>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</si>
  <si>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</si>
  <si>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</si>
  <si>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</si>
  <si>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</si>
  <si>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</si>
  <si>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</si>
  <si>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</si>
  <si>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</si>
  <si>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</si>
  <si>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</si>
  <si>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</si>
  <si>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</si>
  <si>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</si>
  <si>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</si>
  <si>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</si>
  <si>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</si>
  <si>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</si>
  <si>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</si>
  <si>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</si>
  <si>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</si>
  <si>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</si>
  <si>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</si>
  <si>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</si>
  <si>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</si>
  <si>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</si>
  <si>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</si>
  <si>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</si>
  <si>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</si>
  <si>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</si>
  <si>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</si>
  <si>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</si>
  <si>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</si>
  <si>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</si>
  <si>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</si>
  <si>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</si>
  <si>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</si>
  <si>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</si>
  <si>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</si>
  <si>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</si>
  <si>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</si>
  <si>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</si>
  <si>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</si>
  <si>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</si>
  <si>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</si>
  <si>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</si>
  <si>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</si>
  <si>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</si>
  <si>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</si>
  <si>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</si>
  <si>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</si>
  <si>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</si>
  <si>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</si>
  <si>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</si>
  <si>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</si>
  <si>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</si>
  <si>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</si>
  <si>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</si>
  <si>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</si>
  <si>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</si>
  <si>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</si>
  <si>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</si>
  <si>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</si>
  <si>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</si>
  <si>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</si>
  <si>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</si>
  <si>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</si>
  <si>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</si>
  <si>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</si>
  <si>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</si>
  <si>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</si>
  <si>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</si>
  <si>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</si>
  <si>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</si>
  <si>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</si>
  <si>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</si>
  <si>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</si>
  <si>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</si>
  <si>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</si>
  <si>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</si>
  <si>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</si>
  <si>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</si>
  <si>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</si>
  <si>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</si>
  <si>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</si>
  <si>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</si>
  <si>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</si>
  <si>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</si>
  <si>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</si>
  <si>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</si>
  <si>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</si>
  <si>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</si>
  <si>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</si>
  <si>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</si>
  <si>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</si>
  <si>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</si>
  <si>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</si>
  <si>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</si>
  <si>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</si>
  <si>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</si>
  <si>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</si>
  <si>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</si>
  <si>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</si>
  <si>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</si>
  <si>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</si>
  <si>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</si>
  <si>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</si>
  <si>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</si>
  <si>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</si>
  <si>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</si>
  <si>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</si>
  <si>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</si>
  <si>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</si>
  <si>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</si>
  <si>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</si>
  <si>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</si>
  <si>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</si>
  <si>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</si>
  <si>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</si>
  <si>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</si>
  <si>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</si>
  <si>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</si>
  <si>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</si>
  <si>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</si>
  <si>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</si>
  <si>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</si>
  <si>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</si>
  <si>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</si>
  <si>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</si>
  <si>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</si>
  <si>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</si>
  <si>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</si>
  <si>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</si>
  <si>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</si>
  <si>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</si>
  <si>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</si>
  <si>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</si>
  <si>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</si>
  <si>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</si>
  <si>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</si>
  <si>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</si>
  <si>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</si>
  <si>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</si>
  <si>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</si>
  <si>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</si>
  <si>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</si>
  <si>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</si>
  <si>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</si>
  <si>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</si>
  <si>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</si>
  <si>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</si>
  <si>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</si>
  <si>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</si>
  <si>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</si>
  <si>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</si>
  <si>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</si>
  <si>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</si>
  <si>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</si>
  <si>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</si>
  <si>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</si>
  <si>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</si>
  <si>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</si>
  <si>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</si>
  <si>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</si>
  <si>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</si>
  <si>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</si>
  <si>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</si>
  <si>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</si>
  <si>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</si>
  <si>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</si>
  <si>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</si>
  <si>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</si>
  <si>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</si>
  <si>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</si>
  <si>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</si>
  <si>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</si>
  <si>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</si>
  <si>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</si>
  <si>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</si>
  <si>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</si>
  <si>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</si>
  <si>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</si>
  <si>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</si>
  <si>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</si>
  <si>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</si>
  <si>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</si>
  <si>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</si>
  <si>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</si>
  <si>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</si>
  <si>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</si>
  <si>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</si>
  <si>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</si>
  <si>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</si>
  <si>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</si>
  <si>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</si>
  <si>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</si>
  <si>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</si>
  <si>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</si>
  <si>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</si>
  <si>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</si>
  <si>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</si>
  <si>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</si>
  <si>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</si>
  <si>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</si>
  <si>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</si>
  <si>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</si>
  <si>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</si>
  <si>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</si>
  <si>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</si>
  <si>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</si>
  <si>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</si>
  <si>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</si>
  <si>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</si>
  <si>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</si>
  <si>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</si>
  <si>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</si>
  <si>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</si>
  <si>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</si>
  <si>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</si>
  <si>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</si>
  <si>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</si>
  <si>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</si>
  <si>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</si>
  <si>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</si>
  <si>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</si>
  <si>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</si>
  <si>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</si>
  <si>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</si>
  <si>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</si>
  <si>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</si>
  <si>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</si>
  <si>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</si>
  <si>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</si>
  <si>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</si>
  <si>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</si>
  <si>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</si>
  <si>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</si>
  <si>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</si>
  <si>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</si>
  <si>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</si>
  <si>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</si>
  <si>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</si>
  <si>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</si>
  <si>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</si>
  <si>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</si>
  <si>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</si>
  <si>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</si>
  <si>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</si>
  <si>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</si>
  <si>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</si>
  <si>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</si>
  <si>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</si>
  <si>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</si>
  <si>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</si>
  <si>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</si>
  <si>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</si>
  <si>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</si>
  <si>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</si>
  <si>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</si>
  <si>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</si>
  <si>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</si>
  <si>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</si>
  <si>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</si>
  <si>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</si>
  <si>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</si>
  <si>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</si>
  <si>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</si>
  <si>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</si>
  <si>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</si>
  <si>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</si>
  <si>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</si>
  <si>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</si>
  <si>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</si>
  <si>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</si>
  <si>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</si>
  <si>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</si>
  <si>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</si>
  <si>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</si>
  <si>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</si>
  <si>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</si>
  <si>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</si>
  <si>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</si>
  <si>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</si>
  <si>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</si>
  <si>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</si>
  <si>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</si>
  <si>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</si>
  <si>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</si>
  <si>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</si>
  <si>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</si>
  <si>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</si>
  <si>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</si>
  <si>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</si>
  <si>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</si>
  <si>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</si>
  <si>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</si>
  <si>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</si>
  <si>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</si>
  <si>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</si>
  <si>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</si>
  <si>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</si>
  <si>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</si>
  <si>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</si>
  <si>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</si>
  <si>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</si>
  <si>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</si>
  <si>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</si>
  <si>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</si>
  <si>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</si>
  <si>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</si>
  <si>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</si>
  <si>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</si>
  <si>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</si>
  <si>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</si>
  <si>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</si>
  <si>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</si>
  <si>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</si>
  <si>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</si>
  <si>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</si>
  <si>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</si>
  <si>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</si>
  <si>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</si>
  <si>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</si>
  <si>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</si>
  <si>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</si>
  <si>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</si>
  <si>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</si>
  <si>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</si>
  <si>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</si>
  <si>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</si>
  <si>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</si>
  <si>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</si>
  <si>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</si>
  <si>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</si>
  <si>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</si>
  <si>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</si>
  <si>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</si>
  <si>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</si>
  <si>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</si>
  <si>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</si>
  <si>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</si>
  <si>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</si>
  <si>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</si>
  <si>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</si>
  <si>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</si>
  <si>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</si>
  <si>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</si>
  <si>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</si>
  <si>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</si>
  <si>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</si>
  <si>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</si>
  <si>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</si>
  <si>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</si>
  <si>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</si>
  <si>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</si>
  <si>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</si>
  <si>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</si>
  <si>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</si>
  <si>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</si>
  <si>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</si>
  <si>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</si>
  <si>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</si>
  <si>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</si>
  <si>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</si>
  <si>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</si>
  <si>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</si>
  <si>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</si>
  <si>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</si>
  <si>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</si>
  <si>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</si>
  <si>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</si>
  <si>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</si>
  <si>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</si>
  <si>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</si>
  <si>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</si>
  <si>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</si>
  <si>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</si>
  <si>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</si>
  <si>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</si>
  <si>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</si>
  <si>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</si>
  <si>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</si>
  <si>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</si>
  <si>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</si>
  <si>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</si>
  <si>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</si>
  <si>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</si>
  <si>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</si>
  <si>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</si>
  <si>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</si>
  <si>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</si>
  <si>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</si>
  <si>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</si>
  <si>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</si>
  <si>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</si>
  <si>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</si>
  <si>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</si>
  <si>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</si>
  <si>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</si>
  <si>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</si>
  <si>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</si>
  <si>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</si>
  <si>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</si>
  <si>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</si>
  <si>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</si>
  <si>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</si>
  <si>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</si>
  <si>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</si>
  <si>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</si>
  <si>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</si>
  <si>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</si>
  <si>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</si>
  <si>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</si>
  <si>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</si>
  <si>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</si>
  <si>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</si>
  <si>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</si>
  <si>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</si>
  <si>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</si>
  <si>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</si>
  <si>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</si>
  <si>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</si>
  <si>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</si>
  <si>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</si>
  <si>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</si>
  <si>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</si>
  <si>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</si>
  <si>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</si>
  <si>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</si>
  <si>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</si>
  <si>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</si>
  <si>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</si>
  <si>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</si>
  <si>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</si>
  <si>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</si>
  <si>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</si>
  <si>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</si>
  <si>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</si>
  <si>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</si>
  <si>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</si>
  <si>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</si>
  <si>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</si>
  <si>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</si>
  <si>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</si>
  <si>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</si>
  <si>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</si>
  <si>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</si>
  <si>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</si>
  <si>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</si>
  <si>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</si>
  <si>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</si>
  <si>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</si>
  <si>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</si>
  <si>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</si>
  <si>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</si>
  <si>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</si>
  <si>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</si>
  <si>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</si>
  <si>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</si>
  <si>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</si>
  <si>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</si>
  <si>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</si>
  <si>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</si>
  <si>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</si>
  <si>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</si>
  <si>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</si>
  <si>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</si>
  <si>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</si>
  <si>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</si>
  <si>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</si>
  <si>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</si>
  <si>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</si>
  <si>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</si>
  <si>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</si>
  <si>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</si>
  <si>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</si>
  <si>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</si>
  <si>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</si>
  <si>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</si>
  <si>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</si>
  <si>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</si>
  <si>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</si>
  <si>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</si>
  <si>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</si>
  <si>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</si>
  <si>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</si>
  <si>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</si>
  <si>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</si>
  <si>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</si>
  <si>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</si>
  <si>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</si>
  <si>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</si>
  <si>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</si>
  <si>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</si>
  <si>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</si>
  <si>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</si>
  <si>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</si>
  <si>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</si>
  <si>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</si>
  <si>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</si>
  <si>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</si>
  <si>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</si>
  <si>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</si>
  <si>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</si>
  <si>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</si>
  <si>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</si>
  <si>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</si>
  <si>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</si>
  <si>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</si>
  <si>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</si>
  <si>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</si>
  <si>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</si>
  <si>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</si>
  <si>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</si>
  <si>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</si>
  <si>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</si>
  <si>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</si>
  <si>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</si>
  <si>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</si>
  <si>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</si>
  <si>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</si>
  <si>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</si>
  <si>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</si>
  <si>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</si>
  <si>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</si>
  <si>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</si>
  <si>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</si>
  <si>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</si>
  <si>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</si>
  <si>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</si>
  <si>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</si>
  <si>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</si>
  <si>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</si>
  <si>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</si>
  <si>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</si>
  <si>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</si>
  <si>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</si>
  <si>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</si>
  <si>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</si>
  <si>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</si>
  <si>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</si>
  <si>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</si>
  <si>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</si>
  <si>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</si>
  <si>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</si>
  <si>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</si>
  <si>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</si>
  <si>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</si>
  <si>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</si>
  <si>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</si>
  <si>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</si>
  <si>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</si>
  <si>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</si>
  <si>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</si>
  <si>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</si>
  <si>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</si>
  <si>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</si>
  <si>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</si>
  <si>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</si>
  <si>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</si>
  <si>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</si>
  <si>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</si>
  <si>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</si>
  <si>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</si>
  <si>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</si>
  <si>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</si>
  <si>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</si>
  <si>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</si>
  <si>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</si>
  <si>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</si>
  <si>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</si>
  <si>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</si>
  <si>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</si>
  <si>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</si>
  <si>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</si>
  <si>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</si>
  <si>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</si>
  <si>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</si>
  <si>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</si>
  <si>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</si>
  <si>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</si>
  <si>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</si>
  <si>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</si>
  <si>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</si>
  <si>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</si>
  <si>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</si>
  <si>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</si>
  <si>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</si>
  <si>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</si>
  <si>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</si>
  <si>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</si>
  <si>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</si>
  <si>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</si>
  <si>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</si>
  <si>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</si>
  <si>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</si>
  <si>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</si>
  <si>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</si>
  <si>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</si>
  <si>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</si>
  <si>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</si>
  <si>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</si>
  <si>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</si>
  <si>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</si>
  <si>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</si>
  <si>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</si>
  <si>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</si>
  <si>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</si>
  <si>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</si>
  <si>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</si>
  <si>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</si>
  <si>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</si>
  <si>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</si>
  <si>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</si>
  <si>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</si>
  <si>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</si>
  <si>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</si>
  <si>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</si>
  <si>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</si>
  <si>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</si>
  <si>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</si>
  <si>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</si>
  <si>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</si>
  <si>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</si>
  <si>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</si>
  <si>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</si>
  <si>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</si>
  <si>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</si>
  <si>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</si>
  <si>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</si>
  <si>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</si>
  <si>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</si>
  <si>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</si>
  <si>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</si>
  <si>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</si>
  <si>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</si>
  <si>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</si>
  <si>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</si>
  <si>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</si>
  <si>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</si>
  <si>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</si>
  <si>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</si>
  <si>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</si>
  <si>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</si>
  <si>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</si>
  <si>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</si>
  <si>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</si>
  <si>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</si>
  <si>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</si>
  <si>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</si>
  <si>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</si>
  <si>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</si>
  <si>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</si>
  <si>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</si>
  <si>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</si>
  <si>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</si>
  <si>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</si>
  <si>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</si>
  <si>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</si>
  <si>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</si>
  <si>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</si>
  <si>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</si>
  <si>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</si>
  <si>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</si>
  <si>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</si>
  <si>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</si>
  <si>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</si>
  <si>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</si>
  <si>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</si>
  <si>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</si>
  <si>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</si>
  <si>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</si>
  <si>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</si>
  <si>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</si>
  <si>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</si>
  <si>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</si>
  <si>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</si>
  <si>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</si>
  <si>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</si>
  <si>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</si>
  <si>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</si>
  <si>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</si>
  <si>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</si>
  <si>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</si>
  <si>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</si>
  <si>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</si>
  <si>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</si>
  <si>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</si>
  <si>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</si>
  <si>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</si>
  <si>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</si>
  <si>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</si>
  <si>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</si>
  <si>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</si>
  <si>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</si>
  <si>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</si>
  <si>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</si>
  <si>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</si>
  <si>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</si>
  <si>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</si>
  <si>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</si>
  <si>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</si>
  <si>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</si>
  <si>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</si>
  <si>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</si>
  <si>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</si>
  <si>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</si>
  <si>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</si>
  <si>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</si>
  <si>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</si>
  <si>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</si>
  <si>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</si>
  <si>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</si>
  <si>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</si>
  <si>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</si>
  <si>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</si>
  <si>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</si>
  <si>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</si>
  <si>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</si>
  <si>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</si>
  <si>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</si>
  <si>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</si>
  <si>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</si>
  <si>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</si>
  <si>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</si>
  <si>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</si>
  <si>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</si>
  <si>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</si>
  <si>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</si>
  <si>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</si>
  <si>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</si>
  <si>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</si>
  <si>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</si>
  <si>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</si>
  <si>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</si>
  <si>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</si>
  <si>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</si>
  <si>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</si>
  <si>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</si>
  <si>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</si>
  <si>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</si>
  <si>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</si>
  <si>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</si>
  <si>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</si>
  <si>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</si>
  <si>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</si>
  <si>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</si>
  <si>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</si>
  <si>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</si>
  <si>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</si>
  <si>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</si>
  <si>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</si>
  <si>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</si>
  <si>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</si>
  <si>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</si>
  <si>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</si>
  <si>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</si>
  <si>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</si>
  <si>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</si>
  <si>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</si>
  <si>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</si>
  <si>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</si>
  <si>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</si>
  <si>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</si>
  <si>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</si>
  <si>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</si>
  <si>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</si>
  <si>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</si>
  <si>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</si>
  <si>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</si>
  <si>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</si>
  <si>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</si>
  <si>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</si>
  <si>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</si>
  <si>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</si>
  <si>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</si>
  <si>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</si>
  <si>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</si>
  <si>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</si>
  <si>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</si>
  <si>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</si>
  <si>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</si>
  <si>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</si>
  <si>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</si>
  <si>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</si>
  <si>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</si>
  <si>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</si>
  <si>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</si>
  <si>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</si>
  <si>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</si>
  <si>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</si>
  <si>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</si>
  <si>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</si>
  <si>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</si>
  <si>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</si>
  <si>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</si>
  <si>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</si>
  <si>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</si>
  <si>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</si>
  <si>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</si>
  <si>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</si>
  <si>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</si>
  <si>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</si>
  <si>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</si>
  <si>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</si>
  <si>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</si>
  <si>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</si>
  <si>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</si>
  <si>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</si>
  <si>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</si>
  <si>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</si>
  <si>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</si>
  <si>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</si>
  <si>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</si>
  <si>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</si>
  <si>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</si>
  <si>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</si>
  <si>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</si>
  <si>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</si>
  <si>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</si>
  <si>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</si>
  <si>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</si>
  <si>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</si>
  <si>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</si>
  <si>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</si>
  <si>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</si>
  <si>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</si>
  <si>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</si>
  <si>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</si>
  <si>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</si>
  <si>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</si>
  <si>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</si>
  <si>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</si>
  <si>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</si>
  <si>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</si>
  <si>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</si>
  <si>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</si>
  <si>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</si>
  <si>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</si>
  <si>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</si>
  <si>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</si>
  <si>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</si>
  <si>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</si>
  <si>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</si>
  <si>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</si>
  <si>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</si>
  <si>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</si>
  <si>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</si>
  <si>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</si>
  <si>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</si>
  <si>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</si>
  <si>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</si>
  <si>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</si>
  <si>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</si>
  <si>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</si>
  <si>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</si>
  <si>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</si>
  <si>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</si>
  <si>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</si>
  <si>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</si>
  <si>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</si>
  <si>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</si>
  <si>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</si>
  <si>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</si>
  <si>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</si>
  <si>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</si>
  <si>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</si>
  <si>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</si>
  <si>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</si>
  <si>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</si>
  <si>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</si>
  <si>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</si>
  <si>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</si>
  <si>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</si>
  <si>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</si>
  <si>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</si>
  <si>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</si>
  <si>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</si>
  <si>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</si>
  <si>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</si>
  <si>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</si>
  <si>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</si>
  <si>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</si>
  <si>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</si>
  <si>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</si>
  <si>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</si>
  <si>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</si>
  <si>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</si>
  <si>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</si>
  <si>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</si>
  <si>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</si>
  <si>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</si>
  <si>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</si>
  <si>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</si>
  <si>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</si>
  <si>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</si>
  <si>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</si>
  <si>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</si>
  <si>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</si>
  <si>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</si>
  <si>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</si>
  <si>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</si>
  <si>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</si>
  <si>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</si>
  <si>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</si>
  <si>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</si>
  <si>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</si>
  <si>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</si>
  <si>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</si>
  <si>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</si>
  <si>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</si>
  <si>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</si>
  <si>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</si>
  <si>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</si>
  <si>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</si>
  <si>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</si>
  <si>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</si>
  <si>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</si>
  <si>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</si>
  <si>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</si>
  <si>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</si>
  <si>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</si>
  <si>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</si>
  <si>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</si>
  <si>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</si>
  <si>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</si>
  <si>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</si>
  <si>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</si>
  <si>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</si>
  <si>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</si>
  <si>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</si>
  <si>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</si>
  <si>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</si>
  <si>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</si>
  <si>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</si>
  <si>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</si>
  <si>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</si>
  <si>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</si>
  <si>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</si>
  <si>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</si>
  <si>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</si>
  <si>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</si>
  <si>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</si>
  <si>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</si>
  <si>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</si>
  <si>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</si>
  <si>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</si>
  <si>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</si>
  <si>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</si>
  <si>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</si>
  <si>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</si>
  <si>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</si>
  <si>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</si>
  <si>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</si>
  <si>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</si>
  <si>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</si>
  <si>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</si>
  <si>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</si>
  <si>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</si>
  <si>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</si>
  <si>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</si>
  <si>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</si>
  <si>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</si>
  <si>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</si>
  <si>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</si>
  <si>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</si>
  <si>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</si>
  <si>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</si>
  <si>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</si>
  <si>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</si>
  <si>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</si>
  <si>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</si>
  <si>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</si>
  <si>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</si>
  <si>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</si>
  <si>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</si>
  <si>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</si>
  <si>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</si>
  <si>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</si>
  <si>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</si>
  <si>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</si>
  <si>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</si>
  <si>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</si>
  <si>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</si>
  <si>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</si>
  <si>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</si>
  <si>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</si>
  <si>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</si>
  <si>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</si>
  <si>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</si>
  <si>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</si>
  <si>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</si>
  <si>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</si>
  <si>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</si>
  <si>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</si>
  <si>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</si>
  <si>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</si>
  <si>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</si>
  <si>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</si>
  <si>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</si>
  <si>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</si>
  <si>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</si>
  <si>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</si>
  <si>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</si>
  <si>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</si>
  <si>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</si>
  <si>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</si>
  <si>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</si>
  <si>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</si>
  <si>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</si>
  <si>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</si>
  <si>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</si>
  <si>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</si>
  <si>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</si>
  <si>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</si>
  <si>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</si>
  <si>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</si>
  <si>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</si>
  <si>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</si>
  <si>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</si>
  <si>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</si>
  <si>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</si>
  <si>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</si>
  <si>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</si>
  <si>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</si>
  <si>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</si>
  <si>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</si>
  <si>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</si>
  <si>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</si>
  <si>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</si>
  <si>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</si>
  <si>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</si>
  <si>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</si>
  <si>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</si>
  <si>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</si>
  <si>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</si>
  <si>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</si>
  <si>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</si>
  <si>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</si>
  <si>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</si>
  <si>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</si>
  <si>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</si>
  <si>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</si>
  <si>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</si>
  <si>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</si>
  <si>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</si>
  <si>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</si>
  <si>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</si>
  <si>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</si>
  <si>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</si>
  <si>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</si>
  <si>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</si>
  <si>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</si>
  <si>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</si>
  <si>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</si>
  <si>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</si>
  <si>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</si>
  <si>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</si>
  <si>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</si>
  <si>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</si>
  <si>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</si>
  <si>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</si>
  <si>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</si>
  <si>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</si>
  <si>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</si>
  <si>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</si>
  <si>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</si>
  <si>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</si>
  <si>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</si>
  <si>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</si>
  <si>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</si>
  <si>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</si>
  <si>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</si>
  <si>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</si>
  <si>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</si>
  <si>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</si>
  <si>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</si>
  <si>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</si>
  <si>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</si>
  <si>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</si>
  <si>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</si>
  <si>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</si>
  <si>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</si>
  <si>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</si>
  <si>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</si>
  <si>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</si>
  <si>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</si>
  <si>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</si>
  <si>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</si>
  <si>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</si>
  <si>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</si>
  <si>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</si>
  <si>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</si>
  <si>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</si>
  <si>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</si>
  <si>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</si>
  <si>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</si>
  <si>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</si>
  <si>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</si>
  <si>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</si>
  <si>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</si>
  <si>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</si>
  <si>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</si>
  <si>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</si>
  <si>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</si>
  <si>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</si>
  <si>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</si>
  <si>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</si>
  <si>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</si>
  <si>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</si>
  <si>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</si>
  <si>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</si>
  <si>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</si>
  <si>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</si>
  <si>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</si>
  <si>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</si>
  <si>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</si>
  <si>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</si>
  <si>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</si>
  <si>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</si>
  <si>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</si>
  <si>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</si>
  <si>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</si>
  <si>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</si>
  <si>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</si>
  <si>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</si>
  <si>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</si>
  <si>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</si>
  <si>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</si>
  <si>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</si>
  <si>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</si>
  <si>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</si>
  <si>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</si>
  <si>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</si>
  <si>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</si>
  <si>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</si>
  <si>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</si>
  <si>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</si>
  <si>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</si>
  <si>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</si>
  <si>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</si>
  <si>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</si>
  <si>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</si>
  <si>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</si>
  <si>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</si>
  <si>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</si>
  <si>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</si>
  <si>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</si>
  <si>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</si>
  <si>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</si>
  <si>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</si>
  <si>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</si>
  <si>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</si>
  <si>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</si>
  <si>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</si>
  <si>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</si>
  <si>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</si>
  <si>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</si>
  <si>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</si>
  <si>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</si>
  <si>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</si>
  <si>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</si>
  <si>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</si>
  <si>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</si>
  <si>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</si>
  <si>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</si>
  <si>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</si>
  <si>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</si>
  <si>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</si>
  <si>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</si>
  <si>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</si>
  <si>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</si>
  <si>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</si>
  <si>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</si>
  <si>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</si>
  <si>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</si>
  <si>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</si>
  <si>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</si>
  <si>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</si>
  <si>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</si>
  <si>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</si>
  <si>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</si>
  <si>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</si>
  <si>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</si>
  <si>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</si>
  <si>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</si>
  <si>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</si>
  <si>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</si>
  <si>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</si>
  <si>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</si>
  <si>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</si>
  <si>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</si>
  <si>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</si>
  <si>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</si>
  <si>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</si>
  <si>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</si>
  <si>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</si>
  <si>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</si>
  <si>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</si>
  <si>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</si>
  <si>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</si>
  <si>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</si>
  <si>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</si>
  <si>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</si>
  <si>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</si>
  <si>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</si>
  <si>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</si>
  <si>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</si>
  <si>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</si>
  <si>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</si>
  <si>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</si>
  <si>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</si>
  <si>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</si>
  <si>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</si>
  <si>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</si>
  <si>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</si>
  <si>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</si>
  <si>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</si>
  <si>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</si>
  <si>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</si>
  <si>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</si>
  <si>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</si>
  <si>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</si>
  <si>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</si>
  <si>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</si>
  <si>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</si>
  <si>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</si>
  <si>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</si>
  <si>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</si>
  <si>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</si>
  <si>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</si>
  <si>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</si>
  <si>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</si>
  <si>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</si>
  <si>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</si>
  <si>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</si>
  <si>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</si>
  <si>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</si>
  <si>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</si>
  <si>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</si>
  <si>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</si>
  <si>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</si>
  <si>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</si>
  <si>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</si>
  <si>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</si>
  <si>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</si>
  <si>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</si>
  <si>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</si>
  <si>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</si>
  <si>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</si>
  <si>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</si>
  <si>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</si>
  <si>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</si>
  <si>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</si>
  <si>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</si>
  <si>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</si>
  <si>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</si>
  <si>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</si>
  <si>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</si>
  <si>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</si>
  <si>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</si>
  <si>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</si>
  <si>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</si>
  <si>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</si>
  <si>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</si>
  <si>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</si>
  <si>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</si>
  <si>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</si>
  <si>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</si>
  <si>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</si>
  <si>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</si>
  <si>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</si>
  <si>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</si>
  <si>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</si>
  <si>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</si>
  <si>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</si>
  <si>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</si>
  <si>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</si>
  <si>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</si>
  <si>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</si>
  <si>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</si>
  <si>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</si>
  <si>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</si>
  <si>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</si>
  <si>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</si>
  <si>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</si>
  <si>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</si>
  <si>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</si>
  <si>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</si>
  <si>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</si>
  <si>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</si>
  <si>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</si>
  <si>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</si>
  <si>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</si>
  <si>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</si>
  <si>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</si>
  <si>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</si>
  <si>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</si>
  <si>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</si>
  <si>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</si>
  <si>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</si>
  <si>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</si>
  <si>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</si>
  <si>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</si>
  <si>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</si>
  <si>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</si>
  <si>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</si>
  <si>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</si>
  <si>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</si>
  <si>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</si>
  <si>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</si>
  <si>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</si>
  <si>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</si>
  <si>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</si>
  <si>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</si>
  <si>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</si>
  <si>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</si>
  <si>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</si>
  <si>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</si>
  <si>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</si>
  <si>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</si>
  <si>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</si>
  <si>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</si>
  <si>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</si>
  <si>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</si>
  <si>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</si>
  <si>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</si>
  <si>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</si>
  <si>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</si>
  <si>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</si>
  <si>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</si>
  <si>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</si>
  <si>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</si>
  <si>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</si>
  <si>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</si>
  <si>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</si>
  <si>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</si>
  <si>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</si>
  <si>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</si>
  <si>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</si>
  <si>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</si>
  <si>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</si>
  <si>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</si>
  <si>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</si>
  <si>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</si>
  <si>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</si>
  <si>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</si>
  <si>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</si>
  <si>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</si>
  <si>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</si>
  <si>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</si>
  <si>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</si>
  <si>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</si>
  <si>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</si>
  <si>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</si>
  <si>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</si>
  <si>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</si>
  <si>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</si>
  <si>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</si>
  <si>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</si>
  <si>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</si>
  <si>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</si>
  <si>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</si>
  <si>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</si>
  <si>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</si>
  <si>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</si>
  <si>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</si>
  <si>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</si>
  <si>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</si>
  <si>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</si>
  <si>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</si>
  <si>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</si>
  <si>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</si>
  <si>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</si>
  <si>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</si>
  <si>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</si>
  <si>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</si>
  <si>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</si>
  <si>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</si>
  <si>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</si>
  <si>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</si>
  <si>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</si>
  <si>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</si>
  <si>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</si>
  <si>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</si>
  <si>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</si>
  <si>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</si>
  <si>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</si>
  <si>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</si>
  <si>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</si>
  <si>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</si>
  <si>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</si>
  <si>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</si>
  <si>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</si>
  <si>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</si>
  <si>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</si>
  <si>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</si>
  <si>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</si>
  <si>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</si>
  <si>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</si>
  <si>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</si>
  <si>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</si>
  <si>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</si>
  <si>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</si>
  <si>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</si>
  <si>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</si>
  <si>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</si>
  <si>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</si>
  <si>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</si>
  <si>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</si>
  <si>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</si>
  <si>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</si>
  <si>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</si>
  <si>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</si>
  <si>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</si>
  <si>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</si>
  <si>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</si>
  <si>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</si>
  <si>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</si>
  <si>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</si>
  <si>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</si>
  <si>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</si>
  <si>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</si>
  <si>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</si>
  <si>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</si>
  <si>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</si>
  <si>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</si>
  <si>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</si>
  <si>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</si>
  <si>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</si>
  <si>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</si>
  <si>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</si>
  <si>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</si>
  <si>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</si>
  <si>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</si>
  <si>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</si>
  <si>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</si>
  <si>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</si>
  <si>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</si>
  <si>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</si>
  <si>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</si>
  <si>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</si>
  <si>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</si>
  <si>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</si>
  <si>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</si>
  <si>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</si>
  <si>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</si>
  <si>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</si>
  <si>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</si>
  <si>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</si>
  <si>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</si>
  <si>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</si>
  <si>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</si>
  <si>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</si>
  <si>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</si>
  <si>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</si>
  <si>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</si>
  <si>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</si>
  <si>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</si>
  <si>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</si>
  <si>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</si>
  <si>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</si>
  <si>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</si>
  <si>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</si>
  <si>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</si>
  <si>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</si>
  <si>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</si>
  <si>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</si>
  <si>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</si>
  <si>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</si>
  <si>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</si>
  <si>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</si>
  <si>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</si>
  <si>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</si>
  <si>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</si>
  <si>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</si>
  <si>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</si>
  <si>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</si>
  <si>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</si>
  <si>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</si>
  <si>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</si>
  <si>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</si>
  <si>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</si>
  <si>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</si>
  <si>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</si>
  <si>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</si>
  <si>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</si>
  <si>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</si>
  <si>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</si>
  <si>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</si>
  <si>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</si>
  <si>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</si>
  <si>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</si>
  <si>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</si>
  <si>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</si>
  <si>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</si>
  <si>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</si>
  <si>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</si>
  <si>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</si>
  <si>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</si>
  <si>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</si>
  <si>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</si>
  <si>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</si>
  <si>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</si>
  <si>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</si>
  <si>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</si>
  <si>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</si>
  <si>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</si>
  <si>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</si>
  <si>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</si>
  <si>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</si>
  <si>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</si>
  <si>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</si>
  <si>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</si>
  <si>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</si>
  <si>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</si>
  <si>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</si>
  <si>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</si>
  <si>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</si>
  <si>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</si>
  <si>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</si>
  <si>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</si>
  <si>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</si>
  <si>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</si>
  <si>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</si>
  <si>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</si>
  <si>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</si>
  <si>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</si>
  <si>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</si>
  <si>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</si>
  <si>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</si>
  <si>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</si>
  <si>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</si>
  <si>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</si>
  <si>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</si>
  <si>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</si>
  <si>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</si>
  <si>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</si>
  <si>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</si>
  <si>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</si>
  <si>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</si>
  <si>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</si>
  <si>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</si>
  <si>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</si>
  <si>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</si>
  <si>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</si>
  <si>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</si>
  <si>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</si>
  <si>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</si>
  <si>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</si>
  <si>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</si>
  <si>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</si>
  <si>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</si>
  <si>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</si>
  <si>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</si>
  <si>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</si>
  <si>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</si>
  <si>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</si>
  <si>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</si>
  <si>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</si>
  <si>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</si>
  <si>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</si>
  <si>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</si>
  <si>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</si>
  <si>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</si>
  <si>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</si>
  <si>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</si>
  <si>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</si>
  <si>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</si>
  <si>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</si>
  <si>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</si>
  <si>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</si>
  <si>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</si>
  <si>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</si>
  <si>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</si>
  <si>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</si>
  <si>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</si>
  <si>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</si>
  <si>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</si>
  <si>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</si>
  <si>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</si>
  <si>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</si>
  <si>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</si>
  <si>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</si>
  <si>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</si>
  <si>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</si>
  <si>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</si>
  <si>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</si>
  <si>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</si>
  <si>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</si>
  <si>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</si>
  <si>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</si>
  <si>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</si>
  <si>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</si>
  <si>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</si>
  <si>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</si>
  <si>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</si>
  <si>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</si>
  <si>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</si>
  <si>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</si>
  <si>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</si>
  <si>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</si>
  <si>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</si>
  <si>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</si>
  <si>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</si>
  <si>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</si>
  <si>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</si>
  <si>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</si>
  <si>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</si>
  <si>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</si>
  <si>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</si>
  <si>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</si>
  <si>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</si>
  <si>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</si>
  <si>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</si>
  <si>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</si>
  <si>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</si>
  <si>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</si>
  <si>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</si>
  <si>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</si>
  <si>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</si>
  <si>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</si>
  <si>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</si>
  <si>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</si>
  <si>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</si>
  <si>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</si>
  <si>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</si>
  <si>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</si>
  <si>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</si>
  <si>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</si>
  <si>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</si>
  <si>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</si>
  <si>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</si>
  <si>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</si>
  <si>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</si>
  <si>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</si>
  <si>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</si>
  <si>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</si>
  <si>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</si>
  <si>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</si>
  <si>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</si>
  <si>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</si>
  <si>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</si>
  <si>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</si>
  <si>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</si>
  <si>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</si>
  <si>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</si>
  <si>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</si>
  <si>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</si>
  <si>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</si>
  <si>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</si>
  <si>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</si>
  <si>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</si>
  <si>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</si>
  <si>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</si>
  <si>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</si>
  <si>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</si>
  <si>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</si>
  <si>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</si>
  <si>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</si>
  <si>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</si>
  <si>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</si>
  <si>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</si>
  <si>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</si>
  <si>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</si>
  <si>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</si>
  <si>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</si>
  <si>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</si>
  <si>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</si>
  <si>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</si>
  <si>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</si>
  <si>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</si>
  <si>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</si>
  <si>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</si>
  <si>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</si>
  <si>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</si>
  <si>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</si>
  <si>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</si>
  <si>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</si>
  <si>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</si>
  <si>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</si>
  <si>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</si>
  <si>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</si>
  <si>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</si>
  <si>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</si>
  <si>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</si>
  <si>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</si>
  <si>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</si>
  <si>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</si>
  <si>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</si>
  <si>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</si>
  <si>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</si>
  <si>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</si>
  <si>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</si>
  <si>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</si>
  <si>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</si>
  <si>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</si>
  <si>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</si>
  <si>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</si>
  <si>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</si>
  <si>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</si>
  <si>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</si>
  <si>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</si>
  <si>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</si>
  <si>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</si>
  <si>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</si>
  <si>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</si>
  <si>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</si>
  <si>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</si>
  <si>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</si>
  <si>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</si>
  <si>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</si>
  <si>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</si>
  <si>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</si>
  <si>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</si>
  <si>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</si>
  <si>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</si>
  <si>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</si>
  <si>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</si>
  <si>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</si>
  <si>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</si>
  <si>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</si>
  <si>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</si>
  <si>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</si>
  <si>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</si>
  <si>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</si>
  <si>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</si>
  <si>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</si>
  <si>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</si>
  <si>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</si>
  <si>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</si>
  <si>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</si>
  <si>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</si>
  <si>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</si>
  <si>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</si>
  <si>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</si>
  <si>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</si>
  <si>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</si>
  <si>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</si>
  <si>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</si>
  <si>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</si>
  <si>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</si>
  <si>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</si>
  <si>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</si>
  <si>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</si>
  <si>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</si>
  <si>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</si>
  <si>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</si>
  <si>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</si>
  <si>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</si>
  <si>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</si>
  <si>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</si>
  <si>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</si>
  <si>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</si>
  <si>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</si>
  <si>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</si>
  <si>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</si>
  <si>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</si>
  <si>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</si>
  <si>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</si>
  <si>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</si>
  <si>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</si>
  <si>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</si>
  <si>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</si>
  <si>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</si>
  <si>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</si>
  <si>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</si>
  <si>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</si>
  <si>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</si>
  <si>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</si>
  <si>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</si>
  <si>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</si>
  <si>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</si>
  <si>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</si>
  <si>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</si>
  <si>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</si>
  <si>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</si>
  <si>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</si>
  <si>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</si>
  <si>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</si>
  <si>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</si>
  <si>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</si>
  <si>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</si>
  <si>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</si>
  <si>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</si>
  <si>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</si>
  <si>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</si>
  <si>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</si>
  <si>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</si>
  <si>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</si>
  <si>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</si>
  <si>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</si>
  <si>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</si>
  <si>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</si>
  <si>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</si>
  <si>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</si>
  <si>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</si>
  <si>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</si>
  <si>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</si>
  <si>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</si>
  <si>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</si>
  <si>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</si>
  <si>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</si>
  <si>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</si>
  <si>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</si>
  <si>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</si>
  <si>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</si>
  <si>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</si>
  <si>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</si>
  <si>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</si>
  <si>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</si>
  <si>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</si>
  <si>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</si>
  <si>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</si>
  <si>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</si>
  <si>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</si>
  <si>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</si>
  <si>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</si>
  <si>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</si>
  <si>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</si>
  <si>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</si>
  <si>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</si>
  <si>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</si>
  <si>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</si>
  <si>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</si>
  <si>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</si>
  <si>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</si>
  <si>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</si>
  <si>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</si>
  <si>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</si>
  <si>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</si>
  <si>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</si>
  <si>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</si>
  <si>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</si>
  <si>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</si>
  <si>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</si>
  <si>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</si>
  <si>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</si>
  <si>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</si>
  <si>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</si>
  <si>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</si>
  <si>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</si>
  <si>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</si>
  <si>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</si>
  <si>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</si>
  <si>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</si>
  <si>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</si>
  <si>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</si>
  <si>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</si>
  <si>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</si>
  <si>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</si>
  <si>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</si>
  <si>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</si>
  <si>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</si>
  <si>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</si>
  <si>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</si>
  <si>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</si>
  <si>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</si>
  <si>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</si>
  <si>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</si>
  <si>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</si>
  <si>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</si>
  <si>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</si>
  <si>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</si>
  <si>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</si>
  <si>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</si>
  <si>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</si>
  <si>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</si>
  <si>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</si>
  <si>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</si>
  <si>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</si>
  <si>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</si>
  <si>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</si>
  <si>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</si>
  <si>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</si>
  <si>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</si>
  <si>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</si>
  <si>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</si>
  <si>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</si>
  <si>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</si>
  <si>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</si>
  <si>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</si>
  <si>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</si>
  <si>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</si>
  <si>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</si>
  <si>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</si>
  <si>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</si>
  <si>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</si>
  <si>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</si>
  <si>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</si>
  <si>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</si>
  <si>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</si>
  <si>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</si>
  <si>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</si>
  <si>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</si>
  <si>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</si>
  <si>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</si>
  <si>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</si>
  <si>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</si>
  <si>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</si>
  <si>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</si>
  <si>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</si>
  <si>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</si>
  <si>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</si>
  <si>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</si>
  <si>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</si>
  <si>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</si>
  <si>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</si>
  <si>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</si>
  <si>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</si>
  <si>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</si>
  <si>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</si>
  <si>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</si>
  <si>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</si>
  <si>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</si>
  <si>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</si>
  <si>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</si>
  <si>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</si>
  <si>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</si>
  <si>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</si>
  <si>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</si>
  <si>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</si>
  <si>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</si>
  <si>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</si>
  <si>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</si>
  <si>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</si>
  <si>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</si>
  <si>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</si>
  <si>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</si>
  <si>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</si>
  <si>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</si>
  <si>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</si>
  <si>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</si>
  <si>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</si>
  <si>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</si>
  <si>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</si>
  <si>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</si>
  <si>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</si>
  <si>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</si>
  <si>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</si>
  <si>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</si>
  <si>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</si>
  <si>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</si>
  <si>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</si>
  <si>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</si>
  <si>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</si>
  <si>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</si>
  <si>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</si>
  <si>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</si>
  <si>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</si>
  <si>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</si>
  <si>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</si>
  <si>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</si>
  <si>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</si>
  <si>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</si>
  <si>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</si>
  <si>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</si>
  <si>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</si>
  <si>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</si>
  <si>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</si>
  <si>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</si>
  <si>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</si>
  <si>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</si>
  <si>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</si>
  <si>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</si>
  <si>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</si>
  <si>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</si>
  <si>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</si>
  <si>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</si>
  <si>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</si>
  <si>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</si>
  <si>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</si>
  <si>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</si>
  <si>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</si>
  <si>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</si>
  <si>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</si>
  <si>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</si>
  <si>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</si>
  <si>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</si>
  <si>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</si>
  <si>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</si>
  <si>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</si>
  <si>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</si>
  <si>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</si>
  <si>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</si>
  <si>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</si>
  <si>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</si>
  <si>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</si>
  <si>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</si>
  <si>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</si>
  <si>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</si>
  <si>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</si>
  <si>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</si>
  <si>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</si>
  <si>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</si>
  <si>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</si>
  <si>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</si>
  <si>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</si>
  <si>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</si>
  <si>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</si>
  <si>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</si>
  <si>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</si>
  <si>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</si>
  <si>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</si>
  <si>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</si>
  <si>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</si>
  <si>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</si>
  <si>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</si>
  <si>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</si>
  <si>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</si>
  <si>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</si>
  <si>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</si>
  <si>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</si>
  <si>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</si>
  <si>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</si>
  <si>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</si>
  <si>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</si>
  <si>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</si>
  <si>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</si>
  <si>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</si>
  <si>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</si>
  <si>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</si>
  <si>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</si>
  <si>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</si>
  <si>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</si>
  <si>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</si>
  <si>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</si>
  <si>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</si>
  <si>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</si>
  <si>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</si>
  <si>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</si>
  <si>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</si>
  <si>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</si>
  <si>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</si>
  <si>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</si>
  <si>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</si>
  <si>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</si>
  <si>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</si>
  <si>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</si>
  <si>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</si>
  <si>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</si>
  <si>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</si>
  <si>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</si>
  <si>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</si>
  <si>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</si>
  <si>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</si>
  <si>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</si>
  <si>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</si>
  <si>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</si>
  <si>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</si>
  <si>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</si>
  <si>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</si>
  <si>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</si>
  <si>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</si>
  <si>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</si>
  <si>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</si>
  <si>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</si>
  <si>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</si>
  <si>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</si>
  <si>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</si>
  <si>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</si>
  <si>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</si>
  <si>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</si>
  <si>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</si>
  <si>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</si>
  <si>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</si>
  <si>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</si>
  <si>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</si>
  <si>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</si>
  <si>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</si>
  <si>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</si>
  <si>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</si>
  <si>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</si>
  <si>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</si>
  <si>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</si>
  <si>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</si>
  <si>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</si>
  <si>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</si>
  <si>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</si>
  <si>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</si>
  <si>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</si>
  <si>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</si>
  <si>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</si>
  <si>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</si>
  <si>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</si>
  <si>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</si>
  <si>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</si>
  <si>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</si>
  <si>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</si>
  <si>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</si>
  <si>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</si>
  <si>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</si>
  <si>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</si>
  <si>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</si>
  <si>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</si>
  <si>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</si>
  <si>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</si>
  <si>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</si>
  <si>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</si>
  <si>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</si>
  <si>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</si>
  <si>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</si>
  <si>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</si>
  <si>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</si>
  <si>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</si>
  <si>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</si>
  <si>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</si>
  <si>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</si>
  <si>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</si>
  <si>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</si>
  <si>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</si>
  <si>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</si>
  <si>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</si>
  <si>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</si>
  <si>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</si>
  <si>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</si>
  <si>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</si>
  <si>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</si>
  <si>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</si>
  <si>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</si>
  <si>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</si>
  <si>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</si>
  <si>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</si>
  <si>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</si>
  <si>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</si>
  <si>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</si>
  <si>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</si>
  <si>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</si>
  <si>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</si>
  <si>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</si>
  <si>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</si>
  <si>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</si>
  <si>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</si>
  <si>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</si>
  <si>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</si>
  <si>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</si>
  <si>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</si>
  <si>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</si>
  <si>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</si>
  <si>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</si>
  <si>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</si>
  <si>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</si>
  <si>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</si>
  <si>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</si>
  <si>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</si>
  <si>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</si>
  <si>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</si>
  <si>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</si>
  <si>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</si>
  <si>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</si>
  <si>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</si>
  <si>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</si>
  <si>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</si>
  <si>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</si>
  <si>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</si>
  <si>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</si>
  <si>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</si>
  <si>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</si>
  <si>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</si>
  <si>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</si>
  <si>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</si>
  <si>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</si>
  <si>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</si>
  <si>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</si>
  <si>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</si>
  <si>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</si>
  <si>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</si>
  <si>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</si>
  <si>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</si>
  <si>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</si>
  <si>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</si>
  <si>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</si>
  <si>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</si>
  <si>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</si>
  <si>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</si>
  <si>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</si>
  <si>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</si>
  <si>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</si>
  <si>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</si>
  <si>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</si>
  <si>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</si>
  <si>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</si>
  <si>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</si>
  <si>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</si>
  <si>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</si>
  <si>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</si>
  <si>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</si>
  <si>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</si>
  <si>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</si>
  <si>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</si>
  <si>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</si>
  <si>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</si>
  <si>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</si>
  <si>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</si>
  <si>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</si>
  <si>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</si>
  <si>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</si>
  <si>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</si>
  <si>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</si>
  <si>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</si>
  <si>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</si>
  <si>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</si>
  <si>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</si>
  <si>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</si>
  <si>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</si>
  <si>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</si>
  <si>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</si>
  <si>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</si>
  <si>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</si>
  <si>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</si>
  <si>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</si>
  <si>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</si>
  <si>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</si>
  <si>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</si>
  <si>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</si>
  <si>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</si>
  <si>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</si>
  <si>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</si>
  <si>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</si>
  <si>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</si>
  <si>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</si>
  <si>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</si>
  <si>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</si>
  <si>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</si>
  <si>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</si>
  <si>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</si>
  <si>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</si>
  <si>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</si>
  <si>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</si>
  <si>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</si>
  <si>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</si>
  <si>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</si>
  <si>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</si>
  <si>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</si>
  <si>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</si>
  <si>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</si>
  <si>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</si>
  <si>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</si>
  <si>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</si>
  <si>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</si>
  <si>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</si>
  <si>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</si>
  <si>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</si>
  <si>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</si>
  <si>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</si>
  <si>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</si>
  <si>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</si>
  <si>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</si>
  <si>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</si>
  <si>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</si>
  <si>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</si>
  <si>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</si>
  <si>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</si>
  <si>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</si>
  <si>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</si>
  <si>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</si>
  <si>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</si>
  <si>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</si>
  <si>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</si>
  <si>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</si>
  <si>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</si>
  <si>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</si>
  <si>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</si>
  <si>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</si>
  <si>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</si>
  <si>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</si>
  <si>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</si>
  <si>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</si>
  <si>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</si>
  <si>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</si>
  <si>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</si>
  <si>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</si>
  <si>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</si>
  <si>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</si>
  <si>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</si>
  <si>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</si>
  <si>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</si>
  <si>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</si>
  <si>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</si>
  <si>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</si>
  <si>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</si>
  <si>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</si>
  <si>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</si>
  <si>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</si>
  <si>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</si>
  <si>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</si>
  <si>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</si>
  <si>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</si>
  <si>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</si>
  <si>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</si>
  <si>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</si>
  <si>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</si>
  <si>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</si>
  <si>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</si>
  <si>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</si>
  <si>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</si>
  <si>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</si>
  <si>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</si>
  <si>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</si>
  <si>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</si>
  <si>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</si>
  <si>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</si>
  <si>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</si>
  <si>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</si>
  <si>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</si>
  <si>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</si>
  <si>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</si>
  <si>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</si>
  <si>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</si>
  <si>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</si>
  <si>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</si>
  <si>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</si>
  <si>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</si>
  <si>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</si>
  <si>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</si>
  <si>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</si>
  <si>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</si>
  <si>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</si>
  <si>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</si>
  <si>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</si>
  <si>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</si>
  <si>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</si>
  <si>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</si>
  <si>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</si>
  <si>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</si>
  <si>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</si>
  <si>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</si>
  <si>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</si>
  <si>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</si>
  <si>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</si>
  <si>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</si>
  <si>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</si>
  <si>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</si>
  <si>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</si>
  <si>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</si>
  <si>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</si>
  <si>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</si>
  <si>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</si>
  <si>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</si>
  <si>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</si>
  <si>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</si>
  <si>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</si>
  <si>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</si>
  <si>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</si>
  <si>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</si>
  <si>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</si>
  <si>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</si>
  <si>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</si>
  <si>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</si>
  <si>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</si>
  <si>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</si>
  <si>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</si>
  <si>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</si>
  <si>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</si>
  <si>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</si>
  <si>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</si>
  <si>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</si>
  <si>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</si>
  <si>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</si>
  <si>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</si>
  <si>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</si>
  <si>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</si>
  <si>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</si>
  <si>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</si>
  <si>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</si>
  <si>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</si>
  <si>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</si>
  <si>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</si>
  <si>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</si>
  <si>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</si>
  <si>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</si>
  <si>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</si>
  <si>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</si>
  <si>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</si>
  <si>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</si>
  <si>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</si>
  <si>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</si>
  <si>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</si>
  <si>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</si>
  <si>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</si>
  <si>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</si>
  <si>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</si>
  <si>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</si>
  <si>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</si>
  <si>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</si>
  <si>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</si>
  <si>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</si>
  <si>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</si>
  <si>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</si>
  <si>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</si>
  <si>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</si>
  <si>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</si>
  <si>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</si>
  <si>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</si>
  <si>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</si>
  <si>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</si>
  <si>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</si>
  <si>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</si>
  <si>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</si>
  <si>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</si>
  <si>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</si>
  <si>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</si>
  <si>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</si>
  <si>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</si>
  <si>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</si>
  <si>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</si>
  <si>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</si>
  <si>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</si>
  <si>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</si>
  <si>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</si>
  <si>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</si>
  <si>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</si>
  <si>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</si>
  <si>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</si>
  <si>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</si>
  <si>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</si>
  <si>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</si>
  <si>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</si>
  <si>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</si>
  <si>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</si>
  <si>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</si>
  <si>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</si>
  <si>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</si>
  <si>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</si>
  <si>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</si>
  <si>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</si>
  <si>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</si>
  <si>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</si>
  <si>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</si>
  <si>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</si>
  <si>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</si>
  <si>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</si>
  <si>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</si>
  <si>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</si>
  <si>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</si>
  <si>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</si>
  <si>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</si>
  <si>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</si>
  <si>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</si>
  <si>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</si>
  <si>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</si>
  <si>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</si>
  <si>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</si>
  <si>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</si>
  <si>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</si>
  <si>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</si>
  <si>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</si>
  <si>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</si>
  <si>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</si>
  <si>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</si>
  <si>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</si>
  <si>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</si>
  <si>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</si>
  <si>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</si>
  <si>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</si>
  <si>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</si>
  <si>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</si>
  <si>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</si>
  <si>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</si>
  <si>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</si>
  <si>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</si>
  <si>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</si>
  <si>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</si>
  <si>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</si>
  <si>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</si>
  <si>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</si>
  <si>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</si>
  <si>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</si>
  <si>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</si>
  <si>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</si>
  <si>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</si>
  <si>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</si>
  <si>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</si>
  <si>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</si>
  <si>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</si>
  <si>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</si>
  <si>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</si>
  <si>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</si>
  <si>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</si>
  <si>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</si>
  <si>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</si>
  <si>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</si>
  <si>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</si>
  <si>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</si>
  <si>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</si>
  <si>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</si>
  <si>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</si>
  <si>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</si>
  <si>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</si>
  <si>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</si>
  <si>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</si>
  <si>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</si>
  <si>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</si>
  <si>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</si>
  <si>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</si>
  <si>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</si>
  <si>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</si>
  <si>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</si>
  <si>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</si>
  <si>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</si>
  <si>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</si>
  <si>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</si>
  <si>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</si>
  <si>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</si>
  <si>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</si>
  <si>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</si>
  <si>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</si>
  <si>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</si>
  <si>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</si>
  <si>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</si>
  <si>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</si>
  <si>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</si>
  <si>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</si>
  <si>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</si>
  <si>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</si>
  <si>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</si>
  <si>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</si>
  <si>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</si>
  <si>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</si>
  <si>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</si>
  <si>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</si>
  <si>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</si>
  <si>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</si>
  <si>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</si>
  <si>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</si>
  <si>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</si>
  <si>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</si>
  <si>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</si>
  <si>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</si>
  <si>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</si>
  <si>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</si>
  <si>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</si>
  <si>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</si>
  <si>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</si>
  <si>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</si>
  <si>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</si>
  <si>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</si>
  <si>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</si>
  <si>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</si>
  <si>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</si>
  <si>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</si>
  <si>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</si>
  <si>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</si>
  <si>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</si>
  <si>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</si>
  <si>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</si>
  <si>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</si>
  <si>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</si>
  <si>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</si>
  <si>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</si>
  <si>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</si>
  <si>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</si>
  <si>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</si>
  <si>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</si>
  <si>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</si>
  <si>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</si>
  <si>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</si>
  <si>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</si>
  <si>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</si>
  <si>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</si>
  <si>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</si>
  <si>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</si>
  <si>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</si>
  <si>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</si>
  <si>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</si>
  <si>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</si>
  <si>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</si>
  <si>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</si>
  <si>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</si>
  <si>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</si>
  <si>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</si>
  <si>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</si>
  <si>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</si>
  <si>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</si>
  <si>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</si>
  <si>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</si>
  <si>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</si>
  <si>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</si>
  <si>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</si>
  <si>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</si>
  <si>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</si>
  <si>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</si>
  <si>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</si>
  <si>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</si>
  <si>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</si>
  <si>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</si>
  <si>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</si>
  <si>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</si>
  <si>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</si>
  <si>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</si>
  <si>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</si>
  <si>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</si>
  <si>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</si>
  <si>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</si>
  <si>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</si>
  <si>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</si>
  <si>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</si>
  <si>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</si>
  <si>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</si>
  <si>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</si>
  <si>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</si>
  <si>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</si>
  <si>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</si>
  <si>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</si>
  <si>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</si>
  <si>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</si>
  <si>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</si>
  <si>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</si>
  <si>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</si>
  <si>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</si>
  <si>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</si>
  <si>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</si>
  <si>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</si>
  <si>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</si>
  <si>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</si>
  <si>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</si>
  <si>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</si>
  <si>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</si>
  <si>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</si>
  <si>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</si>
  <si>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</si>
  <si>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</si>
  <si>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</si>
  <si>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</si>
  <si>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</si>
  <si>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</si>
  <si>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</si>
  <si>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</si>
  <si>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</si>
  <si>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</si>
  <si>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</si>
  <si>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</si>
  <si>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</si>
  <si>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</si>
  <si>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</si>
  <si>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</si>
  <si>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</si>
  <si>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</si>
  <si>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</si>
  <si>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</si>
  <si>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</si>
  <si>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</si>
  <si>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</si>
  <si>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</si>
  <si>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</si>
  <si>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</si>
  <si>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</si>
  <si>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</si>
  <si>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</si>
  <si>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</si>
  <si>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</si>
  <si>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</si>
  <si>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</si>
  <si>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</si>
  <si>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</si>
  <si>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</si>
  <si>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</si>
  <si>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</si>
  <si>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</si>
  <si>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</si>
  <si>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</si>
  <si>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</si>
  <si>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</si>
  <si>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</si>
  <si>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</si>
  <si>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</si>
  <si>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</si>
  <si>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</si>
  <si>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</si>
  <si>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</si>
  <si>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</si>
  <si>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</si>
  <si>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</si>
  <si>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</si>
  <si>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</si>
  <si>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</si>
  <si>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</si>
  <si>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</si>
  <si>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</si>
  <si>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</si>
  <si>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</si>
  <si>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</si>
  <si>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</si>
  <si>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</si>
  <si>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</si>
  <si>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</si>
  <si>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</si>
  <si>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</si>
  <si>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</si>
  <si>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</si>
  <si>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</si>
  <si>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</si>
  <si>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</si>
  <si>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</si>
  <si>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</si>
  <si>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</si>
  <si>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</si>
  <si>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</si>
  <si>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</si>
  <si>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</si>
  <si>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</si>
  <si>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</si>
  <si>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</si>
  <si>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</si>
  <si>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</si>
  <si>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</si>
  <si>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</si>
  <si>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</si>
  <si>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</si>
  <si>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</si>
  <si>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</si>
  <si>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</si>
  <si>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</si>
  <si>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</si>
  <si>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</si>
  <si>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</si>
  <si>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</si>
  <si>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</si>
  <si>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</si>
  <si>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</si>
  <si>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</si>
  <si>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</si>
  <si>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</si>
  <si>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</si>
  <si>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</si>
  <si>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</si>
  <si>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</si>
  <si>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</si>
  <si>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</si>
  <si>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</si>
  <si>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</si>
  <si>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</si>
  <si>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</si>
  <si>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</si>
  <si>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</si>
  <si>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</si>
  <si>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</si>
  <si>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</si>
  <si>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</si>
  <si>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</si>
  <si>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</si>
  <si>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</si>
  <si>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</si>
  <si>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</si>
  <si>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</si>
  <si>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</si>
  <si>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</si>
  <si>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</si>
  <si>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</si>
  <si>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</si>
  <si>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</si>
  <si>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</si>
  <si>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</si>
  <si>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</si>
  <si>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</si>
  <si>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</si>
  <si>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</si>
  <si>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</si>
  <si>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</si>
  <si>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</si>
  <si>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</si>
  <si>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</si>
  <si>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</si>
  <si>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</si>
  <si>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</si>
  <si>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</si>
  <si>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</si>
  <si>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</si>
  <si>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</si>
  <si>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</si>
  <si>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</si>
  <si>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</si>
  <si>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</si>
  <si>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</si>
  <si>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</si>
  <si>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</si>
  <si>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</si>
  <si>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</si>
  <si>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</si>
  <si>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</si>
  <si>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</si>
  <si>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</si>
  <si>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</si>
  <si>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</si>
  <si>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</si>
  <si>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</si>
  <si>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</si>
  <si>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</si>
  <si>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</si>
  <si>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</si>
  <si>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</si>
  <si>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</si>
  <si>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</si>
  <si>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</si>
  <si>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</si>
  <si>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</si>
  <si>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</si>
  <si>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</si>
  <si>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</si>
  <si>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</si>
  <si>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</si>
  <si>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</si>
  <si>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</si>
  <si>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</si>
  <si>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</si>
  <si>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</si>
  <si>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</si>
  <si>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</si>
  <si>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</si>
  <si>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</si>
  <si>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</si>
  <si>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</si>
  <si>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</si>
  <si>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</si>
  <si>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</si>
  <si>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</si>
  <si>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</si>
  <si>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</si>
  <si>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</si>
  <si>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</si>
  <si>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</si>
  <si>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</si>
  <si>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</si>
  <si>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</si>
  <si>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</si>
  <si>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</si>
  <si>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</si>
  <si>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</si>
  <si>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</si>
  <si>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</si>
  <si>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</si>
  <si>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</si>
  <si>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</si>
  <si>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</si>
  <si>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</si>
  <si>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</si>
  <si>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</si>
  <si>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</si>
  <si>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</si>
  <si>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</si>
  <si>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</si>
  <si>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</si>
  <si>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</si>
  <si>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</si>
  <si>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</si>
  <si>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</si>
  <si>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</si>
  <si>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</si>
  <si>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</si>
  <si>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</si>
  <si>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</si>
  <si>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</si>
  <si>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</si>
  <si>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</si>
  <si>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</si>
  <si>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</si>
  <si>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</si>
  <si>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</si>
  <si>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</si>
  <si>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</si>
  <si>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</si>
  <si>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</si>
  <si>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</si>
  <si>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</si>
  <si>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</si>
  <si>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</si>
  <si>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</si>
  <si>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</si>
  <si>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</si>
  <si>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</si>
  <si>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</si>
  <si>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</si>
  <si>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</si>
  <si>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</si>
  <si>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</si>
  <si>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</si>
  <si>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</si>
  <si>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</si>
  <si>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</si>
  <si>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</si>
  <si>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</si>
  <si>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</si>
  <si>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</si>
  <si>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</si>
  <si>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</si>
  <si>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</si>
  <si>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</si>
  <si>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</si>
  <si>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</si>
  <si>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</si>
  <si>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</si>
  <si>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</si>
  <si>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</si>
  <si>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</si>
  <si>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</si>
  <si>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</si>
  <si>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</si>
  <si>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</si>
  <si>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</si>
  <si>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</si>
  <si>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</si>
  <si>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</si>
  <si>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</si>
  <si>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</si>
  <si>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</si>
  <si>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</si>
  <si>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</si>
  <si>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</si>
  <si>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</si>
  <si>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</si>
  <si>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</si>
  <si>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</si>
  <si>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</si>
  <si>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</si>
  <si>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</si>
  <si>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</si>
  <si>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</si>
  <si>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</si>
  <si>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</si>
  <si>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</si>
  <si>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</si>
  <si>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</si>
  <si>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</si>
  <si>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</si>
  <si>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</si>
  <si>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</si>
  <si>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</si>
  <si>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</si>
  <si>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</si>
  <si>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</si>
  <si>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</si>
  <si>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</si>
  <si>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</si>
  <si>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</si>
  <si>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</si>
  <si>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</si>
  <si>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</si>
  <si>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</si>
  <si>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</si>
  <si>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</si>
  <si>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</si>
  <si>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</si>
  <si>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</si>
  <si>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</si>
  <si>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</si>
  <si>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</si>
  <si>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</si>
  <si>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</si>
  <si>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</si>
  <si>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</si>
  <si>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</si>
  <si>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</si>
  <si>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</si>
  <si>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</si>
  <si>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</si>
  <si>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</si>
  <si>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</si>
  <si>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</si>
  <si>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</si>
  <si>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</si>
  <si>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</si>
  <si>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</si>
  <si>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</si>
  <si>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</si>
  <si>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</si>
  <si>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</si>
  <si>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</si>
  <si>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</si>
  <si>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</si>
  <si>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</si>
  <si>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</si>
  <si>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</si>
  <si>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</si>
  <si>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</si>
  <si>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</si>
  <si>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</si>
  <si>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</si>
  <si>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</si>
  <si>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</si>
  <si>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</si>
  <si>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</si>
  <si>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</si>
  <si>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</si>
  <si>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</si>
  <si>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</si>
  <si>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</si>
  <si>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</si>
  <si>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</si>
  <si>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</si>
  <si>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</si>
  <si>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</si>
  <si>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</si>
  <si>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</si>
  <si>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</si>
  <si>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</si>
  <si>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</si>
  <si>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</si>
  <si>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</si>
  <si>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</si>
  <si>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</si>
  <si>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</si>
  <si>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</si>
  <si>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</si>
  <si>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</si>
  <si>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</si>
  <si>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</si>
  <si>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</si>
  <si>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</si>
  <si>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</si>
  <si>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</si>
  <si>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</si>
  <si>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</si>
  <si>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</si>
  <si>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</si>
  <si>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</si>
  <si>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</si>
  <si>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</si>
  <si>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</si>
  <si>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</si>
  <si>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</si>
  <si>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</si>
  <si>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</si>
  <si>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</si>
  <si>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</si>
  <si>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</si>
  <si>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</si>
  <si>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</si>
  <si>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</si>
  <si>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</si>
  <si>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</si>
  <si>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</si>
  <si>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</si>
  <si>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</si>
  <si>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</si>
  <si>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</si>
  <si>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</si>
  <si>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</si>
  <si>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</si>
  <si>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</si>
  <si>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</si>
  <si>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</si>
  <si>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</si>
  <si>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</si>
  <si>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</si>
  <si>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</si>
  <si>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</si>
  <si>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</si>
  <si>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</si>
  <si>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</si>
  <si>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</si>
  <si>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</si>
  <si>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</si>
  <si>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</si>
  <si>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</si>
  <si>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</si>
  <si>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</si>
  <si>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</si>
  <si>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</si>
  <si>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</si>
  <si>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</si>
  <si>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</si>
  <si>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</si>
  <si>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</si>
  <si>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</si>
  <si>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</si>
  <si>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</si>
  <si>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</si>
  <si>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</si>
  <si>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</si>
  <si>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</si>
  <si>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</si>
  <si>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</si>
  <si>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</si>
  <si>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</si>
  <si>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</si>
  <si>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</si>
  <si>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</si>
  <si>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</si>
  <si>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</si>
  <si>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</si>
  <si>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</si>
  <si>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</si>
  <si>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</si>
  <si>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</si>
  <si>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</si>
  <si>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</si>
  <si>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</si>
  <si>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</si>
  <si>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</si>
  <si>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</si>
  <si>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</si>
  <si>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</si>
  <si>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</si>
  <si>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</si>
  <si>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</si>
  <si>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</si>
  <si>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</si>
  <si>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</si>
  <si>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</si>
  <si>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</si>
  <si>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</si>
  <si>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</si>
  <si>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</si>
  <si>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</si>
  <si>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</si>
  <si>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</si>
  <si>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</si>
  <si>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</si>
  <si>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</si>
  <si>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</si>
  <si>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</si>
  <si>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</si>
  <si>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</si>
  <si>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</si>
  <si>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</si>
  <si>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</si>
  <si>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</si>
  <si>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</si>
  <si>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</si>
  <si>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</si>
  <si>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</si>
  <si>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</si>
  <si>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</si>
  <si>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</si>
  <si>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</si>
  <si>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</si>
  <si>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</si>
  <si>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</si>
  <si>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</si>
  <si>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</si>
  <si>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</si>
  <si>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</si>
  <si>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</si>
  <si>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</si>
  <si>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</si>
  <si>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</si>
  <si>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</si>
  <si>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</si>
  <si>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</si>
  <si>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</si>
  <si>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</si>
  <si>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</si>
  <si>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</si>
  <si>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</si>
  <si>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</si>
  <si>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</si>
  <si>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</si>
  <si>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</si>
  <si>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</si>
  <si>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</si>
  <si>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</si>
  <si>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</si>
  <si>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</si>
  <si>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</si>
  <si>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</si>
  <si>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</si>
  <si>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</si>
  <si>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</si>
  <si>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</si>
  <si>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</si>
  <si>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</si>
  <si>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</si>
  <si>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</si>
  <si>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</si>
  <si>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</si>
  <si>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</si>
  <si>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</si>
  <si>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</si>
  <si>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</si>
  <si>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</si>
  <si>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</si>
  <si>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</si>
  <si>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</si>
  <si>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</si>
  <si>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</si>
  <si>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</si>
  <si>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</si>
  <si>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</si>
  <si>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</si>
  <si>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</si>
  <si>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</si>
  <si>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</si>
  <si>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</si>
  <si>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</si>
  <si>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</si>
  <si>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</si>
  <si>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</si>
  <si>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</si>
  <si>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</si>
  <si>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</si>
  <si>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</si>
  <si>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</si>
  <si>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</si>
  <si>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</si>
  <si>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</si>
  <si>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</si>
  <si>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</si>
  <si>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</si>
  <si>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</si>
  <si>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</si>
  <si>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</si>
  <si>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</si>
  <si>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</si>
  <si>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</si>
  <si>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</si>
  <si>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</si>
  <si>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</si>
  <si>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</si>
  <si>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</si>
  <si>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</si>
  <si>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</si>
  <si>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</si>
  <si>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</si>
  <si>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</si>
  <si>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</si>
  <si>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</si>
  <si>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</si>
  <si>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</si>
  <si>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</si>
  <si>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</si>
  <si>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</si>
  <si>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</si>
  <si>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</si>
  <si>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</si>
  <si>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</si>
  <si>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</si>
  <si>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</si>
  <si>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</si>
  <si>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</si>
  <si>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</si>
  <si>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</si>
  <si>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</si>
  <si>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</si>
  <si>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</si>
  <si>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</si>
  <si>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</si>
  <si>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</si>
  <si>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</si>
  <si>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</si>
  <si>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</si>
  <si>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</si>
  <si>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</si>
  <si>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</si>
  <si>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</si>
  <si>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</si>
  <si>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</si>
  <si>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</si>
  <si>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</si>
  <si>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</si>
  <si>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</si>
  <si>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</si>
  <si>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</si>
  <si>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</si>
  <si>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</si>
  <si>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</si>
  <si>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</si>
  <si>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</si>
  <si>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</si>
  <si>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</si>
  <si>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</si>
  <si>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</si>
  <si>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</si>
  <si>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</si>
  <si>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</si>
  <si>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</si>
  <si>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</si>
  <si>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</si>
  <si>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</si>
  <si>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</si>
  <si>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</si>
  <si>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</si>
  <si>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</si>
  <si>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</si>
  <si>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</si>
  <si>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</si>
  <si>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</si>
  <si>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</si>
  <si>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</si>
  <si>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</si>
  <si>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</si>
  <si>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</si>
  <si>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</si>
  <si>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</si>
  <si>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</si>
  <si>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</si>
  <si>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</si>
  <si>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</si>
  <si>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</si>
  <si>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</si>
  <si>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</si>
  <si>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</si>
  <si>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</si>
  <si>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</si>
  <si>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</si>
  <si>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</si>
  <si>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</si>
  <si>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</si>
  <si>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</si>
  <si>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</si>
  <si>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</si>
  <si>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</si>
  <si>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</si>
  <si>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</si>
  <si>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</si>
  <si>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</si>
  <si>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</si>
  <si>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</si>
  <si>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</si>
  <si>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</si>
  <si>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</si>
  <si>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</si>
  <si>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</si>
  <si>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</si>
  <si>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</si>
  <si>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</si>
  <si>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</si>
  <si>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</si>
  <si>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</si>
  <si>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</si>
  <si>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</si>
  <si>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</si>
  <si>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</si>
  <si>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</si>
  <si>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</si>
  <si>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</si>
  <si>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</si>
  <si>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</si>
  <si>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</si>
  <si>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</si>
  <si>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</si>
  <si>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</si>
  <si>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</si>
  <si>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</si>
  <si>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</si>
  <si>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</si>
  <si>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</si>
  <si>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</si>
  <si>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</si>
  <si>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</si>
  <si>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</si>
  <si>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</si>
  <si>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</si>
  <si>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</si>
  <si>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</si>
  <si>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</si>
  <si>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</si>
  <si>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</si>
  <si>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</si>
  <si>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</si>
  <si>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</si>
  <si>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</si>
  <si>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</si>
  <si>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</si>
  <si>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</si>
  <si>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</si>
  <si>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</si>
  <si>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</si>
  <si>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</si>
  <si>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</si>
  <si>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</si>
  <si>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</si>
  <si>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</si>
  <si>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</si>
  <si>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</si>
  <si>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</si>
  <si>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</si>
  <si>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</si>
  <si>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</si>
  <si>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</si>
  <si>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</si>
  <si>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</si>
  <si>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</si>
  <si>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</si>
  <si>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</si>
  <si>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</si>
  <si>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</si>
  <si>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</si>
  <si>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</si>
  <si>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</si>
  <si>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</si>
  <si>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</si>
  <si>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</si>
  <si>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</si>
  <si>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</si>
  <si>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</si>
  <si>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</si>
  <si>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</si>
  <si>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</si>
  <si>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</si>
  <si>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</si>
  <si>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</si>
  <si>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</si>
  <si>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</si>
  <si>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</si>
  <si>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</si>
  <si>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</si>
  <si>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</si>
  <si>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</si>
  <si>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</si>
  <si>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</si>
  <si>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</si>
  <si>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</si>
  <si>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</si>
  <si>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</si>
  <si>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</si>
  <si>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</si>
  <si>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</si>
  <si>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</si>
  <si>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</si>
  <si>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</si>
  <si>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</si>
  <si>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</si>
  <si>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</si>
  <si>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</si>
  <si>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</si>
  <si>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</si>
  <si>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</si>
  <si>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</si>
  <si>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</si>
  <si>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</si>
  <si>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</si>
  <si>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</si>
  <si>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</si>
  <si>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</si>
  <si>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</si>
  <si>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</si>
  <si>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</si>
  <si>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</si>
  <si>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</si>
  <si>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</si>
  <si>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</si>
  <si>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</si>
  <si>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</si>
  <si>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</si>
  <si>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</si>
  <si>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</si>
  <si>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</si>
  <si>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</si>
  <si>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</si>
  <si>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</si>
  <si>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</si>
  <si>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</si>
  <si>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</si>
  <si>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</si>
  <si>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</si>
  <si>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</si>
  <si>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</si>
  <si>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</si>
  <si>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</si>
  <si>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</si>
  <si>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</si>
  <si>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</si>
  <si>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</si>
  <si>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</si>
  <si>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</si>
  <si>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</si>
  <si>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</si>
  <si>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</si>
  <si>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</si>
  <si>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</si>
  <si>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</si>
  <si>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</si>
  <si>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</si>
  <si>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</si>
  <si>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</si>
  <si>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</si>
  <si>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</si>
  <si>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</si>
  <si>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</si>
  <si>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</si>
  <si>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</si>
  <si>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</si>
  <si>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</si>
  <si>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</si>
  <si>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</si>
  <si>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</si>
  <si>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</si>
  <si>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</si>
  <si>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</si>
  <si>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</si>
  <si>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</si>
  <si>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</si>
  <si>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</si>
  <si>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</si>
  <si>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</si>
  <si>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</si>
  <si>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</si>
  <si>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</si>
  <si>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</si>
  <si>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</si>
  <si>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</si>
  <si>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</si>
  <si>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</si>
  <si>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</si>
  <si>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</si>
  <si>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</si>
  <si>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</si>
  <si>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</si>
  <si>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</si>
  <si>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</si>
  <si>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</si>
  <si>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</si>
  <si>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</si>
  <si>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</si>
  <si>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</si>
  <si>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</si>
  <si>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</si>
  <si>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</si>
  <si>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</si>
  <si>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</si>
  <si>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</si>
  <si>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</si>
  <si>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</si>
  <si>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</si>
  <si>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</si>
  <si>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</si>
  <si>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</si>
  <si>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</si>
  <si>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</si>
  <si>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</si>
  <si>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</si>
  <si>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</si>
  <si>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</si>
  <si>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</si>
  <si>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</si>
  <si>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</si>
  <si>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</si>
  <si>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</si>
  <si>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</si>
  <si>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</si>
  <si>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</si>
  <si>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</si>
  <si>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</si>
  <si>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</si>
  <si>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</si>
  <si>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</si>
  <si>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</si>
  <si>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</si>
  <si>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</si>
  <si>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</si>
  <si>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</si>
  <si>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</si>
  <si>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</si>
  <si>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</si>
  <si>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</si>
  <si>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</si>
  <si>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</si>
  <si>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</si>
  <si>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</si>
  <si>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</si>
  <si>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</si>
  <si>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</si>
  <si>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</si>
  <si>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</si>
  <si>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</si>
  <si>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</si>
  <si>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</si>
  <si>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</si>
  <si>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</si>
  <si>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</si>
  <si>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</si>
  <si>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</si>
  <si>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</si>
  <si>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</si>
  <si>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</si>
  <si>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</si>
  <si>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</si>
  <si>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</si>
  <si>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</si>
  <si>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</si>
  <si>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</si>
  <si>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</si>
  <si>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</si>
  <si>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</si>
  <si>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</si>
  <si>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</si>
  <si>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</si>
  <si>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</si>
  <si>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</si>
  <si>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</si>
  <si>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</si>
  <si>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</si>
  <si>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</si>
  <si>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</si>
  <si>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</si>
  <si>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</si>
  <si>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</si>
  <si>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</si>
  <si>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</si>
  <si>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</si>
  <si>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</si>
  <si>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</si>
  <si>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</si>
  <si>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</si>
  <si>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</si>
  <si>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</si>
  <si>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</si>
  <si>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</si>
  <si>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</si>
  <si>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</si>
  <si>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</si>
  <si>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</si>
  <si>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</si>
  <si>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</si>
  <si>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</si>
  <si>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</si>
  <si>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</si>
  <si>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</si>
  <si>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</si>
  <si>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</si>
  <si>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</si>
  <si>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</si>
  <si>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</si>
  <si>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</si>
  <si>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</si>
  <si>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</si>
  <si>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</si>
  <si>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</si>
  <si>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</si>
  <si>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</si>
  <si>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</si>
  <si>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</si>
  <si>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</si>
  <si>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</si>
  <si>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</si>
  <si>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</si>
  <si>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</si>
  <si>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</si>
  <si>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</si>
  <si>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</si>
  <si>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</si>
  <si>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</si>
  <si>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</si>
  <si>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</si>
  <si>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</si>
  <si>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</si>
  <si>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</si>
  <si>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</si>
  <si>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</si>
  <si>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</si>
  <si>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</si>
  <si>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</si>
  <si>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</si>
  <si>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</si>
  <si>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</si>
  <si>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</si>
  <si>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</si>
  <si>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</si>
  <si>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</si>
  <si>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</si>
  <si>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</si>
  <si>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</si>
  <si>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</si>
  <si>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</si>
  <si>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</si>
  <si>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</si>
  <si>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</si>
  <si>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</si>
  <si>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</si>
  <si>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</si>
  <si>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</si>
  <si>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</si>
  <si>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</si>
  <si>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</si>
  <si>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</si>
  <si>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</si>
  <si>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</si>
  <si>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</si>
  <si>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</si>
  <si>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</si>
  <si>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</si>
  <si>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</si>
  <si>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</si>
  <si>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</si>
  <si>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</si>
  <si>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</si>
  <si>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</si>
  <si>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</si>
  <si>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</si>
  <si>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</si>
  <si>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</si>
  <si>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</si>
  <si>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</si>
  <si>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</si>
  <si>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</si>
  <si>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</si>
  <si>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</si>
  <si>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</si>
  <si>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</si>
  <si>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</si>
  <si>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</si>
  <si>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</si>
  <si>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</si>
  <si>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</si>
  <si>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</si>
  <si>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</si>
  <si>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</si>
  <si>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</si>
  <si>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</si>
  <si>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</si>
  <si>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</si>
  <si>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</si>
  <si>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</si>
  <si>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</si>
  <si>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</si>
  <si>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</si>
  <si>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</si>
  <si>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</si>
  <si>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</si>
  <si>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</si>
  <si>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</si>
  <si>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</si>
  <si>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</si>
  <si>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</si>
  <si>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</si>
  <si>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</si>
  <si>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</si>
  <si>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</si>
  <si>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</si>
  <si>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</si>
  <si>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</si>
  <si>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</si>
  <si>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</si>
  <si>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</si>
  <si>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</si>
  <si>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</si>
  <si>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</si>
  <si>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</si>
  <si>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</si>
  <si>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</si>
  <si>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</si>
  <si>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</si>
  <si>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</si>
  <si>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</si>
  <si>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</si>
  <si>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</si>
  <si>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</si>
  <si>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</si>
  <si>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</si>
  <si>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</si>
  <si>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</si>
  <si>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</si>
  <si>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</si>
  <si>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</si>
  <si>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</si>
  <si>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</si>
  <si>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</si>
  <si>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</si>
  <si>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</si>
  <si>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</si>
  <si>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</si>
  <si>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</si>
  <si>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</si>
  <si>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</si>
  <si>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</si>
  <si>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</si>
  <si>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</si>
  <si>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</si>
  <si>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</si>
  <si>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</si>
  <si>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</si>
  <si>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</si>
  <si>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</si>
  <si>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</si>
  <si>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</si>
  <si>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</si>
  <si>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</si>
  <si>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</si>
  <si>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</si>
  <si>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</si>
  <si>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</si>
  <si>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</si>
  <si>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</si>
  <si>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</si>
  <si>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</si>
  <si>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</si>
  <si>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</si>
  <si>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</si>
  <si>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</si>
  <si>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</si>
  <si>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</si>
  <si>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</si>
  <si>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</si>
  <si>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</si>
  <si>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</si>
  <si>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</si>
  <si>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</si>
  <si>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</si>
  <si>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</si>
  <si>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</si>
  <si>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</si>
  <si>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</si>
  <si>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</si>
  <si>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</si>
  <si>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</si>
  <si>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</si>
  <si>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</si>
  <si>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</si>
  <si>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</si>
  <si>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</si>
  <si>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</si>
  <si>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</si>
  <si>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</si>
  <si>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</si>
  <si>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</si>
  <si>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</si>
  <si>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</si>
  <si>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</si>
  <si>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</si>
  <si>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</si>
  <si>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</si>
  <si>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</si>
  <si>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</si>
  <si>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</si>
  <si>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</si>
  <si>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</si>
  <si>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</si>
  <si>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</si>
  <si>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</si>
  <si>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</si>
  <si>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</si>
  <si>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</si>
  <si>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</si>
  <si>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</si>
  <si>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</si>
  <si>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</si>
  <si>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</si>
  <si>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</si>
  <si>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</si>
  <si>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</si>
  <si>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</si>
  <si>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</si>
  <si>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</si>
  <si>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</si>
  <si>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</si>
  <si>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</si>
  <si>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</si>
  <si>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</si>
  <si>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</si>
  <si>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</si>
  <si>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</si>
  <si>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</si>
  <si>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</si>
  <si>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</si>
  <si>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</si>
  <si>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</si>
  <si>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</si>
  <si>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</si>
  <si>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</si>
  <si>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</si>
  <si>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</si>
  <si>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</si>
  <si>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</si>
  <si>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</si>
  <si>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</si>
  <si>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</si>
  <si>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</si>
  <si>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</si>
  <si>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</si>
  <si>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</si>
  <si>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</si>
  <si>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</si>
  <si>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</si>
  <si>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</si>
  <si>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</si>
  <si>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</si>
  <si>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</si>
  <si>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</si>
  <si>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</si>
  <si>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</si>
  <si>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</si>
  <si>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</si>
  <si>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</si>
  <si>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</si>
  <si>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</si>
  <si>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</si>
  <si>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</si>
  <si>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</si>
  <si>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</si>
  <si>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</si>
  <si>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</si>
  <si>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</si>
  <si>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</si>
  <si>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</si>
  <si>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</si>
  <si>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</si>
  <si>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</si>
  <si>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</si>
  <si>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</si>
  <si>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</si>
  <si>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</si>
  <si>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</si>
  <si>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</si>
  <si>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</si>
  <si>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</si>
  <si>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</si>
  <si>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</si>
  <si>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</si>
  <si>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</si>
  <si>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</si>
  <si>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</si>
  <si>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</si>
  <si>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</si>
  <si>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</si>
  <si>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</si>
  <si>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</si>
  <si>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</si>
  <si>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</si>
  <si>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</si>
  <si>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</si>
  <si>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</si>
  <si>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</si>
  <si>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</si>
  <si>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</si>
  <si>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</si>
  <si>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</si>
  <si>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</si>
  <si>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</si>
  <si>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</si>
  <si>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</si>
  <si>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</si>
  <si>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</si>
  <si>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</si>
  <si>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</si>
  <si>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</si>
  <si>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</si>
  <si>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</si>
  <si>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</si>
  <si>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</si>
  <si>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</si>
  <si>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</si>
  <si>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</si>
  <si>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</si>
  <si>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</si>
  <si>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</si>
  <si>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</si>
  <si>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</si>
  <si>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</si>
  <si>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</si>
  <si>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</si>
  <si>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</si>
  <si>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</si>
  <si>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</si>
  <si>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</si>
  <si>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</si>
  <si>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</si>
  <si>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</si>
  <si>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</si>
  <si>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</si>
  <si>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</si>
  <si>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</si>
  <si>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</si>
  <si>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</si>
  <si>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</si>
  <si>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</si>
  <si>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</si>
  <si>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</si>
  <si>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</si>
  <si>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</si>
  <si>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</si>
  <si>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</si>
  <si>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</si>
  <si>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</si>
  <si>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</si>
  <si>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</si>
  <si>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</si>
  <si>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</si>
  <si>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</si>
  <si>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</si>
  <si>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</si>
  <si>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</si>
  <si>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</si>
  <si>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</si>
  <si>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</si>
  <si>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</si>
  <si>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</si>
  <si>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</si>
  <si>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</si>
  <si>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</si>
  <si>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</si>
  <si>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</si>
  <si>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</si>
  <si>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</si>
  <si>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</si>
  <si>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</si>
  <si>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</si>
  <si>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</si>
  <si>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</si>
  <si>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</si>
  <si>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</si>
  <si>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</si>
  <si>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</si>
  <si>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</si>
  <si>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</si>
  <si>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</si>
  <si>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</si>
  <si>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</si>
  <si>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</si>
  <si>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</si>
  <si>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</si>
  <si>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</si>
  <si>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</si>
  <si>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</si>
  <si>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</si>
  <si>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</si>
  <si>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</si>
  <si>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</si>
  <si>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</si>
  <si>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</si>
  <si>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</si>
  <si>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</si>
  <si>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</si>
  <si>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</si>
  <si>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</si>
  <si>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</si>
  <si>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</si>
  <si>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</si>
  <si>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</si>
  <si>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</si>
  <si>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</si>
  <si>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</si>
  <si>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</si>
  <si>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</si>
  <si>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</si>
  <si>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</si>
  <si>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</si>
  <si>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</si>
  <si>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</si>
  <si>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</si>
  <si>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</si>
  <si>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</si>
  <si>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</si>
  <si>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</si>
  <si>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</si>
  <si>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</si>
  <si>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</si>
  <si>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</si>
  <si>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</si>
  <si>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</si>
  <si>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</si>
  <si>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</si>
  <si>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</si>
  <si>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</si>
  <si>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</si>
  <si>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</si>
  <si>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</si>
  <si>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</si>
  <si>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</si>
  <si>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</si>
  <si>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</si>
  <si>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</si>
  <si>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</si>
  <si>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</si>
  <si>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</si>
  <si>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</si>
  <si>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</si>
  <si>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</si>
  <si>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</si>
  <si>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</si>
  <si>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</si>
  <si>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</si>
  <si>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</si>
  <si>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</si>
  <si>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</si>
  <si>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</si>
  <si>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</si>
  <si>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</si>
  <si>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</si>
  <si>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</si>
  <si>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</si>
  <si>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</si>
  <si>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</si>
  <si>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</si>
  <si>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</si>
  <si>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</si>
  <si>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</si>
  <si>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</si>
  <si>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</si>
  <si>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</si>
  <si>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</si>
  <si>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</si>
  <si>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</si>
  <si>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</si>
  <si>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</si>
  <si>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</si>
  <si>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</si>
  <si>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</si>
  <si>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</si>
  <si>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</si>
  <si>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</si>
  <si>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</si>
  <si>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</si>
  <si>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</si>
  <si>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</si>
  <si>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</si>
  <si>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</si>
  <si>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</si>
  <si>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</si>
  <si>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</si>
  <si>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</si>
  <si>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</si>
  <si>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</si>
  <si>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</si>
  <si>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</si>
  <si>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</si>
  <si>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</si>
  <si>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</si>
  <si>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</si>
  <si>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</si>
  <si>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</si>
  <si>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</si>
  <si>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</si>
  <si>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</si>
  <si>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</si>
  <si>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</si>
  <si>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</si>
  <si>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</si>
  <si>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</si>
  <si>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</si>
  <si>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</si>
  <si>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</si>
  <si>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</si>
  <si>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</si>
  <si>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</si>
  <si>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</si>
  <si>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</si>
  <si>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</si>
  <si>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</si>
  <si>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</si>
  <si>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</si>
  <si>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</si>
  <si>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</si>
  <si>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</si>
  <si>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</si>
  <si>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</si>
  <si>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</si>
  <si>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</si>
  <si>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</si>
  <si>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</si>
  <si>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</si>
  <si>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</si>
  <si>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</si>
  <si>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</si>
  <si>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</si>
  <si>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</si>
  <si>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</si>
  <si>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</si>
  <si>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</si>
  <si>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</si>
  <si>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</si>
  <si>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</si>
  <si>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</si>
  <si>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</si>
  <si>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</si>
  <si>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</si>
  <si>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</si>
  <si>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</si>
  <si>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</si>
  <si>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</si>
  <si>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</si>
  <si>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</si>
  <si>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</si>
  <si>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</si>
  <si>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</si>
  <si>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</si>
  <si>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</si>
  <si>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</si>
  <si>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</si>
  <si>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</si>
  <si>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</si>
  <si>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</si>
  <si>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</si>
  <si>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</si>
  <si>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</si>
  <si>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</si>
  <si>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</si>
  <si>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</si>
  <si>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</si>
  <si>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</si>
  <si>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</si>
  <si>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</si>
  <si>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</si>
  <si>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</si>
  <si>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</si>
  <si>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</si>
  <si>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</si>
  <si>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</si>
  <si>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</si>
  <si>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</si>
  <si>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</si>
  <si>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</si>
  <si>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</si>
  <si>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</si>
  <si>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</si>
  <si>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</si>
  <si>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</si>
  <si>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</si>
  <si>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</si>
  <si>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</si>
  <si>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</si>
  <si>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</si>
  <si>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</si>
  <si>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</si>
  <si>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</si>
  <si>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</si>
  <si>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</si>
  <si>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</si>
  <si>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</si>
  <si>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</si>
  <si>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</si>
  <si>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</si>
  <si>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</si>
  <si>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</si>
  <si>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</si>
  <si>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</si>
  <si>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</si>
  <si>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</si>
  <si>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</si>
  <si>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</si>
  <si>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</si>
  <si>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</si>
  <si>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</si>
  <si>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</si>
  <si>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</si>
  <si>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</si>
  <si>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</si>
  <si>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</si>
  <si>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</si>
  <si>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</si>
  <si>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</si>
  <si>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</si>
  <si>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</si>
  <si>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</si>
  <si>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</si>
  <si>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</si>
  <si>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</si>
  <si>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</si>
  <si>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</si>
  <si>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</si>
  <si>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</si>
  <si>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</si>
  <si>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</si>
  <si>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</si>
  <si>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</si>
  <si>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</si>
  <si>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</si>
  <si>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</si>
  <si>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</si>
  <si>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</si>
  <si>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</si>
  <si>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</si>
  <si>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</si>
  <si>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</si>
  <si>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</si>
  <si>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</si>
  <si>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</si>
  <si>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</si>
  <si>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</si>
  <si>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</si>
  <si>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</si>
  <si>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</si>
  <si>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</si>
  <si>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</si>
  <si>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</si>
  <si>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</si>
  <si>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</si>
  <si>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</si>
  <si>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</si>
  <si>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</si>
  <si>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</si>
  <si>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</si>
  <si>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</si>
  <si>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</si>
  <si>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</si>
  <si>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</si>
  <si>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</si>
  <si>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</si>
  <si>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</si>
  <si>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</si>
  <si>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</si>
  <si>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</si>
  <si>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</si>
  <si>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</si>
  <si>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</si>
  <si>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</si>
  <si>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</si>
  <si>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</si>
  <si>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</si>
  <si>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</si>
  <si>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</si>
  <si>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</si>
  <si>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</si>
  <si>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</si>
  <si>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</si>
  <si>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</si>
  <si>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</si>
  <si>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</si>
  <si>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</si>
  <si>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</si>
  <si>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</si>
  <si>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</si>
  <si>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</si>
  <si>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</si>
  <si>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</si>
  <si>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</si>
  <si>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</si>
  <si>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</si>
  <si>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</si>
  <si>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</si>
  <si>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</si>
  <si>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</si>
  <si>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</si>
  <si>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</si>
  <si>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</si>
  <si>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</si>
  <si>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</si>
  <si>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</si>
  <si>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</si>
  <si>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</si>
  <si>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</si>
  <si>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</si>
  <si>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</si>
  <si>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</si>
  <si>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</si>
  <si>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</si>
  <si>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</si>
  <si>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</si>
  <si>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</si>
  <si>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</si>
  <si>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</si>
  <si>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</si>
  <si>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</si>
  <si>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</si>
  <si>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</si>
  <si>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</si>
  <si>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</si>
  <si>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</si>
  <si>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</si>
  <si>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</si>
  <si>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</si>
  <si>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</si>
  <si>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</si>
  <si>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</si>
  <si>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</si>
  <si>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</si>
  <si>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</si>
  <si>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</si>
  <si>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</si>
  <si>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</si>
  <si>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</si>
  <si>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</si>
  <si>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</si>
  <si>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</si>
  <si>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</si>
  <si>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</si>
  <si>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</si>
  <si>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</si>
  <si>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</si>
  <si>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</si>
  <si>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</si>
  <si>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</si>
  <si>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</si>
  <si>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</si>
  <si>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</si>
  <si>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</si>
  <si>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</si>
  <si>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</si>
  <si>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</si>
  <si>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</si>
  <si>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</si>
  <si>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</si>
  <si>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</si>
  <si>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</si>
  <si>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</si>
  <si>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</si>
  <si>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</si>
  <si>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</si>
  <si>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</si>
  <si>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</si>
  <si>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</si>
  <si>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</si>
  <si>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</si>
  <si>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</si>
  <si>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</si>
  <si>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</si>
  <si>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</si>
  <si>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</si>
  <si>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</si>
  <si>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</si>
  <si>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</si>
  <si>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</si>
  <si>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</si>
  <si>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</si>
  <si>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</si>
  <si>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</si>
  <si>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</si>
  <si>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</si>
  <si>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</si>
  <si>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</si>
  <si>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</si>
  <si>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</si>
  <si>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</si>
  <si>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</si>
  <si>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</si>
  <si>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</si>
  <si>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</si>
  <si>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</si>
  <si>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</si>
  <si>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</si>
  <si>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</si>
  <si>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</si>
  <si>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</si>
  <si>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</si>
  <si>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</si>
  <si>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</si>
  <si>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</si>
  <si>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</si>
  <si>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</si>
  <si>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</si>
  <si>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</si>
  <si>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</si>
  <si>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</si>
  <si>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</si>
  <si>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</si>
  <si>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</si>
  <si>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</si>
  <si>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</si>
  <si>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</si>
  <si>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</si>
  <si>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</si>
  <si>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</si>
  <si>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</si>
  <si>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</si>
  <si>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</si>
  <si>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</si>
  <si>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</si>
  <si>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</si>
  <si>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</si>
  <si>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</si>
  <si>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</si>
  <si>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</si>
  <si>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</si>
  <si>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</si>
  <si>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</si>
  <si>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</si>
  <si>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</si>
  <si>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</si>
  <si>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</si>
  <si>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</si>
  <si>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</si>
  <si>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</si>
  <si>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</si>
  <si>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</si>
  <si>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</si>
  <si>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</si>
  <si>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</si>
  <si>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</si>
  <si>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</si>
  <si>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</si>
  <si>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</si>
  <si>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</si>
  <si>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</si>
  <si>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</si>
  <si>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</si>
  <si>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</si>
  <si>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</si>
  <si>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</si>
  <si>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</si>
  <si>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</si>
  <si>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</si>
  <si>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</si>
  <si>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</si>
  <si>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</si>
  <si>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</si>
  <si>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</si>
  <si>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</si>
  <si>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</si>
  <si>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</si>
  <si>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</si>
  <si>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</si>
  <si>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</si>
  <si>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</si>
  <si>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</si>
  <si>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</si>
  <si>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</si>
  <si>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</si>
  <si>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</si>
  <si>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</si>
  <si>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</si>
  <si>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</si>
  <si>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</si>
  <si>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</si>
  <si>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</si>
  <si>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</si>
  <si>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</si>
  <si>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</si>
  <si>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</si>
  <si>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</si>
  <si>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</si>
  <si>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</si>
  <si>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</si>
  <si>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</si>
  <si>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</si>
  <si>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</si>
  <si>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</si>
  <si>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</si>
  <si>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</si>
  <si>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</si>
  <si>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</si>
  <si>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</si>
  <si>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</si>
  <si>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</si>
  <si>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</si>
  <si>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</si>
  <si>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</si>
  <si>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</si>
  <si>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</si>
  <si>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</si>
  <si>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</si>
  <si>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</si>
  <si>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</si>
  <si>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</si>
  <si>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</si>
  <si>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</si>
  <si>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</si>
  <si>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</si>
  <si>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</si>
  <si>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</si>
  <si>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</si>
  <si>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</si>
  <si>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</si>
  <si>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</si>
  <si>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</si>
  <si>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</si>
  <si>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</si>
  <si>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</si>
  <si>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</si>
  <si>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</si>
  <si>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</si>
  <si>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</si>
  <si>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</si>
  <si>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</si>
  <si>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</si>
  <si>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</si>
  <si>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</si>
  <si>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</si>
  <si>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</si>
  <si>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</si>
  <si>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</si>
  <si>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</si>
  <si>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</si>
  <si>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</si>
  <si>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</si>
  <si>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</si>
  <si>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</si>
  <si>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</si>
  <si>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</si>
  <si>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</si>
  <si>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</si>
  <si>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</si>
  <si>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</si>
  <si>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</si>
  <si>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</si>
  <si>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</si>
  <si>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</si>
  <si>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</si>
  <si>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</si>
  <si>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</si>
  <si>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</si>
  <si>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</si>
  <si>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</si>
  <si>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</si>
  <si>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</si>
  <si>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</si>
  <si>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</si>
  <si>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</si>
  <si>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</si>
  <si>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</si>
  <si>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</si>
  <si>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</si>
  <si>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</si>
  <si>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</si>
  <si>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</si>
  <si>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</si>
  <si>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</si>
  <si>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</si>
  <si>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</si>
  <si>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</si>
  <si>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</si>
  <si>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</si>
  <si>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</si>
  <si>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</si>
  <si>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</si>
  <si>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</si>
  <si>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</si>
  <si>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</si>
  <si>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</si>
  <si>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</si>
  <si>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</si>
  <si>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</si>
  <si>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</si>
  <si>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</si>
  <si>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</si>
  <si>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</si>
  <si>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</si>
  <si>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</si>
  <si>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</si>
  <si>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</si>
  <si>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</si>
  <si>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</si>
  <si>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</si>
  <si>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</si>
  <si>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</si>
  <si>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</si>
  <si>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</si>
  <si>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</si>
  <si>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</si>
  <si>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</si>
  <si>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</si>
  <si>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</si>
  <si>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</si>
  <si>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</si>
  <si>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</si>
  <si>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</si>
  <si>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</si>
  <si>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</si>
  <si>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</si>
  <si>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</si>
  <si>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</si>
  <si>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</si>
  <si>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</si>
  <si>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</si>
  <si>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</si>
  <si>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</si>
  <si>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</si>
  <si>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</si>
  <si>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</si>
  <si>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</si>
  <si>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</si>
  <si>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</si>
  <si>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</si>
  <si>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</si>
  <si>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</si>
  <si>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</si>
  <si>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</si>
  <si>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</si>
  <si>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</si>
  <si>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</si>
  <si>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</si>
  <si>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</si>
  <si>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</si>
  <si>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</si>
  <si>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</si>
  <si>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</si>
  <si>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</si>
  <si>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</si>
  <si>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</si>
  <si>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</si>
  <si>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</si>
  <si>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</si>
  <si>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</si>
  <si>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</si>
  <si>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</si>
  <si>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</si>
  <si>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</si>
  <si>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</si>
  <si>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</si>
  <si>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</si>
  <si>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</si>
  <si>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</si>
  <si>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</si>
  <si>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</si>
  <si>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</si>
  <si>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</si>
  <si>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</si>
  <si>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</si>
  <si>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</si>
  <si>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</si>
  <si>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</si>
  <si>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</si>
  <si>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</si>
  <si>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</si>
  <si>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</si>
  <si>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</si>
  <si>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</si>
  <si>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</si>
  <si>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</si>
  <si>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</si>
  <si>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</si>
  <si>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</si>
  <si>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</si>
  <si>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</si>
  <si>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</si>
  <si>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</si>
  <si>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</si>
  <si>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</si>
  <si>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</si>
  <si>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</si>
  <si>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</si>
  <si>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</si>
  <si>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</si>
  <si>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</si>
  <si>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</si>
  <si>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</si>
  <si>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</si>
  <si>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</si>
  <si>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</si>
  <si>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</si>
  <si>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</si>
  <si>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</si>
  <si>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</si>
  <si>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</si>
  <si>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</si>
  <si>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</si>
  <si>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</si>
  <si>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</si>
  <si>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</si>
  <si>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</si>
  <si>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</si>
  <si>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</si>
  <si>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</si>
  <si>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</si>
  <si>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</si>
  <si>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</si>
  <si>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</si>
  <si>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</si>
  <si>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</si>
  <si>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</si>
  <si>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</si>
  <si>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</si>
  <si>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</si>
  <si>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</si>
  <si>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</si>
  <si>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</si>
  <si>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</si>
  <si>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</si>
  <si>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</si>
  <si>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</si>
  <si>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</si>
  <si>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</si>
  <si>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</si>
  <si>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</si>
  <si>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</si>
  <si>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</si>
  <si>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</si>
  <si>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</si>
  <si>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</si>
  <si>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</si>
  <si>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</si>
  <si>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</si>
  <si>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</si>
  <si>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</si>
  <si>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</si>
  <si>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</si>
  <si>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</si>
  <si>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</si>
  <si>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</si>
  <si>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</si>
  <si>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</si>
  <si>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</si>
  <si>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</si>
  <si>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</si>
  <si>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</si>
  <si>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</si>
  <si>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</si>
  <si>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</si>
  <si>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</si>
  <si>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</si>
  <si>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</si>
  <si>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</si>
  <si>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</si>
  <si>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</si>
  <si>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</si>
  <si>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</si>
  <si>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</si>
  <si>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</si>
  <si>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</si>
  <si>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</si>
  <si>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</si>
  <si>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</si>
  <si>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</si>
  <si>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</si>
  <si>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</si>
  <si>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</si>
  <si>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</si>
  <si>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</si>
  <si>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</si>
  <si>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</si>
  <si>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</si>
  <si>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</si>
  <si>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</si>
  <si>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</si>
  <si>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</si>
  <si>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</si>
  <si>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</si>
  <si>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</si>
  <si>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</si>
  <si>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</si>
  <si>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</si>
  <si>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</si>
  <si>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</si>
  <si>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</si>
  <si>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</si>
  <si>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</si>
  <si>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</si>
  <si>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</si>
  <si>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</si>
  <si>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</si>
  <si>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</si>
  <si>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</si>
  <si>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</si>
  <si>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</si>
  <si>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</si>
  <si>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</si>
  <si>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</si>
  <si>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</si>
  <si>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</si>
  <si>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</si>
  <si>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</si>
  <si>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</si>
  <si>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</si>
  <si>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</si>
  <si>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</si>
  <si>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</si>
  <si>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</si>
  <si>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</si>
  <si>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</si>
  <si>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</si>
  <si>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</si>
  <si>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</si>
  <si>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</si>
  <si>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</si>
  <si>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</si>
  <si>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</si>
  <si>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</si>
  <si>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</si>
  <si>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</si>
  <si>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</si>
  <si>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</si>
  <si>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</si>
  <si>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</si>
  <si>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</si>
  <si>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</si>
  <si>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</si>
  <si>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</si>
  <si>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</si>
  <si>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</si>
  <si>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</si>
  <si>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</si>
  <si>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</si>
  <si>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</si>
  <si>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</si>
  <si>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</si>
  <si>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</si>
  <si>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</si>
  <si>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</si>
  <si>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</si>
  <si>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</si>
  <si>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</si>
  <si>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</si>
  <si>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</si>
  <si>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</si>
  <si>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</si>
  <si>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</si>
  <si>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</si>
  <si>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</si>
  <si>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</si>
  <si>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</si>
  <si>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</si>
  <si>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</si>
  <si>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</si>
  <si>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</si>
  <si>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</si>
  <si>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</si>
  <si>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</si>
  <si>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</si>
  <si>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</si>
  <si>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</si>
  <si>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</si>
  <si>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</si>
  <si>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</si>
  <si>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</si>
  <si>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</si>
  <si>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</si>
  <si>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</si>
  <si>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</si>
  <si>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</si>
  <si>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</si>
  <si>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</si>
  <si>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</si>
  <si>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</si>
  <si>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</si>
  <si>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</si>
  <si>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</si>
  <si>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</si>
  <si>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</si>
  <si>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</si>
  <si>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</si>
  <si>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</si>
  <si>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</si>
  <si>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</si>
  <si>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</si>
  <si>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</si>
  <si>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</si>
  <si>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</si>
  <si>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</si>
  <si>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</si>
  <si>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</si>
  <si>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</si>
  <si>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</si>
  <si>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</si>
  <si>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</si>
  <si>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</si>
  <si>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</si>
  <si>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</si>
  <si>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</si>
  <si>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</si>
  <si>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</si>
  <si>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</si>
  <si>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</si>
  <si>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</si>
  <si>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</si>
  <si>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</si>
  <si>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</si>
  <si>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</si>
  <si>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</si>
  <si>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</si>
  <si>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</si>
  <si>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</si>
  <si>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</si>
  <si>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</si>
  <si>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</si>
  <si>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</si>
  <si>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</si>
  <si>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</si>
  <si>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</si>
  <si>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</si>
  <si>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</si>
  <si>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</si>
  <si>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</si>
  <si>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</si>
  <si>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</si>
  <si>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</si>
  <si>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</si>
  <si>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</si>
  <si>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</si>
  <si>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</si>
  <si>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</si>
  <si>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</si>
  <si>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</si>
  <si>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</si>
  <si>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</si>
  <si>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</si>
  <si>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</si>
  <si>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</si>
  <si>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</si>
  <si>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</si>
  <si>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</si>
  <si>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</si>
  <si>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</si>
  <si>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</si>
  <si>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</si>
  <si>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</si>
  <si>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</si>
  <si>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</si>
  <si>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</si>
  <si>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</si>
  <si>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</si>
  <si>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</si>
  <si>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</si>
  <si>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</si>
  <si>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</si>
  <si>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</si>
  <si>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</si>
  <si>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</si>
  <si>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</si>
  <si>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</si>
  <si>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</si>
  <si>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</si>
  <si>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</si>
  <si>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</si>
  <si>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</si>
  <si>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</si>
  <si>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</si>
  <si>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</si>
  <si>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</si>
  <si>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</si>
  <si>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</si>
  <si>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</si>
  <si>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</si>
  <si>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</si>
  <si>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</si>
  <si>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</si>
  <si>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</si>
  <si>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</si>
  <si>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</si>
  <si>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</si>
  <si>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</si>
  <si>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</si>
  <si>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</si>
  <si>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</si>
  <si>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</si>
  <si>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</si>
  <si>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</si>
  <si>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</si>
  <si>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</si>
  <si>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</si>
  <si>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</si>
  <si>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</si>
  <si>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</si>
  <si>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</si>
  <si>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</si>
  <si>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</si>
  <si>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</si>
  <si>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</si>
  <si>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</si>
  <si>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</si>
  <si>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</si>
  <si>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</si>
  <si>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</si>
  <si>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</si>
  <si>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</si>
  <si>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</si>
  <si>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</si>
  <si>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</si>
  <si>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</si>
  <si>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</si>
  <si>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</si>
  <si>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</si>
  <si>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</si>
  <si>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</si>
  <si>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</si>
  <si>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</si>
  <si>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</si>
  <si>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</si>
  <si>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</si>
  <si>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</si>
  <si>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</si>
  <si>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</si>
  <si>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</si>
  <si>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</si>
  <si>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</si>
  <si>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</si>
  <si>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</si>
  <si>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</si>
  <si>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</si>
  <si>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</si>
  <si>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</si>
  <si>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</si>
  <si>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</si>
  <si>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</si>
  <si>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</si>
  <si>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</si>
  <si>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</si>
  <si>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</si>
  <si>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</si>
  <si>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</si>
  <si>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</si>
  <si>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</si>
  <si>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</si>
  <si>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</si>
  <si>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</si>
  <si>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</si>
  <si>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</si>
  <si>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</si>
  <si>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</si>
  <si>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</si>
  <si>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</si>
  <si>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</si>
  <si>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</si>
  <si>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</si>
  <si>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</si>
  <si>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</si>
  <si>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</si>
  <si>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</si>
  <si>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</si>
  <si>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</si>
  <si>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</si>
  <si>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</si>
  <si>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</si>
  <si>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</si>
  <si>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</si>
  <si>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</si>
  <si>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</si>
  <si>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</si>
  <si>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</si>
  <si>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</si>
  <si>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</si>
  <si>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</si>
  <si>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</si>
  <si>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</si>
  <si>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</si>
  <si>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</si>
  <si>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</si>
  <si>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</si>
  <si>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</si>
  <si>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</si>
  <si>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</si>
  <si>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</si>
  <si>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</si>
  <si>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</si>
  <si>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</si>
  <si>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</si>
  <si>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</si>
  <si>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</si>
  <si>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</si>
  <si>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</si>
  <si>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</si>
  <si>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</si>
  <si>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</si>
  <si>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</si>
  <si>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</si>
  <si>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</si>
  <si>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</si>
  <si>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</si>
  <si>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</si>
  <si>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</si>
  <si>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</si>
  <si>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</si>
  <si>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</si>
  <si>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</si>
  <si>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</si>
  <si>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</si>
  <si>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</si>
  <si>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</si>
  <si>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</si>
  <si>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</si>
  <si>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</si>
  <si>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</si>
  <si>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</si>
  <si>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</si>
  <si>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</si>
  <si>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</si>
  <si>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</si>
  <si>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</si>
  <si>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</si>
  <si>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</si>
  <si>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</si>
  <si>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</si>
  <si>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</si>
  <si>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</si>
  <si>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</si>
  <si>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</si>
  <si>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</si>
  <si>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</si>
  <si>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</si>
  <si>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</si>
  <si>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</si>
  <si>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</si>
  <si>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</si>
  <si>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</si>
  <si>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</si>
  <si>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</si>
  <si>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</si>
  <si>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</si>
  <si>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</si>
  <si>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</si>
  <si>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</si>
  <si>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</si>
  <si>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</si>
  <si>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</si>
  <si>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</si>
  <si>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</si>
  <si>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</si>
  <si>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</si>
  <si>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</si>
  <si>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</si>
  <si>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</si>
  <si>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</si>
  <si>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</si>
  <si>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</si>
  <si>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</si>
  <si>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</si>
  <si>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</si>
  <si>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</si>
  <si>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</si>
  <si>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</si>
  <si>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</si>
  <si>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</si>
  <si>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</si>
  <si>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</si>
  <si>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</si>
  <si>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</si>
  <si>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</si>
  <si>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</si>
  <si>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</si>
  <si>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</si>
  <si>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</si>
  <si>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</si>
  <si>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</si>
  <si>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</si>
  <si>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</si>
  <si>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</si>
  <si>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</si>
  <si>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</si>
  <si>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</si>
  <si>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</si>
  <si>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</si>
  <si>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</si>
  <si>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</si>
  <si>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</si>
  <si>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</si>
  <si>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</si>
  <si>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</si>
  <si>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</si>
  <si>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</si>
  <si>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</si>
  <si>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</si>
  <si>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</si>
  <si>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</si>
  <si>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</si>
  <si>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</si>
  <si>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</si>
  <si>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</si>
  <si>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</si>
  <si>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</si>
  <si>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</si>
  <si>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</si>
  <si>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</si>
  <si>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</si>
  <si>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</si>
  <si>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</si>
  <si>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</si>
  <si>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</si>
  <si>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</si>
  <si>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</si>
  <si>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</si>
  <si>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</si>
  <si>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</si>
  <si>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</si>
  <si>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</si>
  <si>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</si>
  <si>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</si>
  <si>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</si>
  <si>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</si>
  <si>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</si>
  <si>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</si>
  <si>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</si>
  <si>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</si>
  <si>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</si>
  <si>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</si>
  <si>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</si>
  <si>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</si>
  <si>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</si>
  <si>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</si>
  <si>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</si>
  <si>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</si>
  <si>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</si>
  <si>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</si>
  <si>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</si>
  <si>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</si>
  <si>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</si>
  <si>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</si>
  <si>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</si>
  <si>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</si>
  <si>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</si>
  <si>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</si>
  <si>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</si>
  <si>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</si>
  <si>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</si>
  <si>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</si>
  <si>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</si>
  <si>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</si>
  <si>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</si>
  <si>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</si>
  <si>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</si>
  <si>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</si>
  <si>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</si>
  <si>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</si>
  <si>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</si>
  <si>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</si>
  <si>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</si>
  <si>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</si>
  <si>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</si>
  <si>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</si>
  <si>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</si>
  <si>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</si>
  <si>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</si>
  <si>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</si>
  <si>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</si>
  <si>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</si>
  <si>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</si>
  <si>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</si>
  <si>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</si>
  <si>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</si>
  <si>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</si>
  <si>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</si>
  <si>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</si>
  <si>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</si>
  <si>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</si>
  <si>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</si>
  <si>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</si>
  <si>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</si>
  <si>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</si>
  <si>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</si>
  <si>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</si>
  <si>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</si>
  <si>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</si>
  <si>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</si>
  <si>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</si>
  <si>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</si>
  <si>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</si>
  <si>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</si>
  <si>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</si>
  <si>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</si>
  <si>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</si>
  <si>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</si>
  <si>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</si>
  <si>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</si>
  <si>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</si>
  <si>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</si>
  <si>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</si>
  <si>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</si>
  <si>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</si>
  <si>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</si>
  <si>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</si>
  <si>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</si>
  <si>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</si>
  <si>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</si>
  <si>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</si>
  <si>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</si>
  <si>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</si>
  <si>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</si>
  <si>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</si>
  <si>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</si>
  <si>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</si>
  <si>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</si>
  <si>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</si>
  <si>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</si>
  <si>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</si>
  <si>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</si>
  <si>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</si>
  <si>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</si>
  <si>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</si>
  <si>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</si>
  <si>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</si>
  <si>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</si>
  <si>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</si>
  <si>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</si>
  <si>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</si>
  <si>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</si>
  <si>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</si>
  <si>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</si>
  <si>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</si>
  <si>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</si>
  <si>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</si>
  <si>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</si>
  <si>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</si>
  <si>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</si>
  <si>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</si>
  <si>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</si>
  <si>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</si>
  <si>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</si>
  <si>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</si>
  <si>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</si>
  <si>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</si>
  <si>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</si>
  <si>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</si>
  <si>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</si>
  <si>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</si>
  <si>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</si>
  <si>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</si>
  <si>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</si>
  <si>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</si>
  <si>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</si>
  <si>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</si>
  <si>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</si>
  <si>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</si>
  <si>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</si>
  <si>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</si>
  <si>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</si>
  <si>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</si>
  <si>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</si>
  <si>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</si>
  <si>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</si>
  <si>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</si>
  <si>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</si>
  <si>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</si>
  <si>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</si>
  <si>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</si>
  <si>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</si>
  <si>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</si>
  <si>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</si>
  <si>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</si>
  <si>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</si>
  <si>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</si>
  <si>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</si>
  <si>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</si>
  <si>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</si>
  <si>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</si>
  <si>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</si>
  <si>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</si>
  <si>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</si>
  <si>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</si>
  <si>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</si>
  <si>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</si>
  <si>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</si>
  <si>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</si>
  <si>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</si>
  <si>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</si>
  <si>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</si>
  <si>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</si>
  <si>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</si>
  <si>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</si>
  <si>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</si>
  <si>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</si>
  <si>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</si>
  <si>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</si>
  <si>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</si>
  <si>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</si>
  <si>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</si>
  <si>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</si>
  <si>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</si>
  <si>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</si>
  <si>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</si>
  <si>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</si>
  <si>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</si>
  <si>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</si>
  <si>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</si>
  <si>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</si>
  <si>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</si>
  <si>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</si>
  <si>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</si>
  <si>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</si>
  <si>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</si>
  <si>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</si>
  <si>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</si>
  <si>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</si>
  <si>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</si>
  <si>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</si>
  <si>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</si>
  <si>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</si>
  <si>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</si>
  <si>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</si>
  <si>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</si>
  <si>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</si>
  <si>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</si>
  <si>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</si>
  <si>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</si>
  <si>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</si>
  <si>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</si>
  <si>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</si>
  <si>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</si>
  <si>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</si>
  <si>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</si>
  <si>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</si>
  <si>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</si>
  <si>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</si>
  <si>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</si>
  <si>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</si>
  <si>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</si>
  <si>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</si>
  <si>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</si>
  <si>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</si>
  <si>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</si>
  <si>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</si>
  <si>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</si>
  <si>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</si>
  <si>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</si>
  <si>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</si>
  <si>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</si>
  <si>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</si>
  <si>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</si>
  <si>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</si>
  <si>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</si>
  <si>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</si>
  <si>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</si>
  <si>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</si>
  <si>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</si>
  <si>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</si>
  <si>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</si>
  <si>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</si>
  <si>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</si>
  <si>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</si>
  <si>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</si>
  <si>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</si>
  <si>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</si>
  <si>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</si>
  <si>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</si>
  <si>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</si>
  <si>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</si>
  <si>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</si>
  <si>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</si>
  <si>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</si>
  <si>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</si>
  <si>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</si>
  <si>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</si>
  <si>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</si>
  <si>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</si>
  <si>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</si>
  <si>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</si>
  <si>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</si>
  <si>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</si>
  <si>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</si>
  <si>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</si>
  <si>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</si>
  <si>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</si>
  <si>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</si>
  <si>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</si>
  <si>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</si>
  <si>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</si>
  <si>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</si>
  <si>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</si>
  <si>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</si>
  <si>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</si>
  <si>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</si>
  <si>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</si>
  <si>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</si>
  <si>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</si>
  <si>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</si>
  <si>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</si>
  <si>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</si>
  <si>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</si>
  <si>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</si>
  <si>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</si>
  <si>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</si>
  <si>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</si>
  <si>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</si>
  <si>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</si>
  <si>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</si>
  <si>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</si>
  <si>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</si>
  <si>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</si>
  <si>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</si>
  <si>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</si>
  <si>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</si>
  <si>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</si>
  <si>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</si>
  <si>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</si>
  <si>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</si>
  <si>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</si>
  <si>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</si>
  <si>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</si>
  <si>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</si>
  <si>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</si>
  <si>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</si>
  <si>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</si>
  <si>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</si>
  <si>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</si>
  <si>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</si>
  <si>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</si>
  <si>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</si>
  <si>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</si>
  <si>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</si>
  <si>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</si>
  <si>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</si>
  <si>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</si>
  <si>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</si>
  <si>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</si>
  <si>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</si>
  <si>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</si>
  <si>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</si>
  <si>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</si>
  <si>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</si>
  <si>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</si>
  <si>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</si>
  <si>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</si>
  <si>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</si>
  <si>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</si>
  <si>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</si>
  <si>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</si>
  <si>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</si>
  <si>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</si>
  <si>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</si>
  <si>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</si>
  <si>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</si>
  <si>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</si>
  <si>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</si>
  <si>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</si>
  <si>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</si>
  <si>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</si>
  <si>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</si>
  <si>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</si>
  <si>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</si>
  <si>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</si>
  <si>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</si>
  <si>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</si>
  <si>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</si>
  <si>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</si>
  <si>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</si>
  <si>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</si>
  <si>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</si>
  <si>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</si>
  <si>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</si>
  <si>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</si>
  <si>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</si>
  <si>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</si>
  <si>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</si>
  <si>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</si>
  <si>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</si>
  <si>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</si>
  <si>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</si>
  <si>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</si>
  <si>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</si>
  <si>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</si>
  <si>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</si>
  <si>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</si>
  <si>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</si>
  <si>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</si>
  <si>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</si>
  <si>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</si>
  <si>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</si>
  <si>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</si>
  <si>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</si>
  <si>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</si>
  <si>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</si>
  <si>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</si>
  <si>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</si>
  <si>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</si>
  <si>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</si>
  <si>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</si>
  <si>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</si>
  <si>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</si>
  <si>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</si>
  <si>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</si>
  <si>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</si>
  <si>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</si>
  <si>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</si>
  <si>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</si>
  <si>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</si>
  <si>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</si>
  <si>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</si>
  <si>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</si>
  <si>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</si>
  <si>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</si>
  <si>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</si>
  <si>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</si>
  <si>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</si>
  <si>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</si>
  <si>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</si>
  <si>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</si>
  <si>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</si>
  <si>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</si>
  <si>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</si>
  <si>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</si>
  <si>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</si>
  <si>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</si>
  <si>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</si>
  <si>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</si>
  <si>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</si>
  <si>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</si>
  <si>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</si>
  <si>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</si>
  <si>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</si>
  <si>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</si>
  <si>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</si>
  <si>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</si>
  <si>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</si>
  <si>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</si>
  <si>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</si>
  <si>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</si>
  <si>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</si>
  <si>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</si>
  <si>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</si>
  <si>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</si>
  <si>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</si>
  <si>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</si>
  <si>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</si>
  <si>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</si>
  <si>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</si>
  <si>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</si>
  <si>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</si>
  <si>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</si>
  <si>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</si>
  <si>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</si>
  <si>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</si>
  <si>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</si>
  <si>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</si>
  <si>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</si>
  <si>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</si>
  <si>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</si>
  <si>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</si>
  <si>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</si>
  <si>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</si>
  <si>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</si>
  <si>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</si>
  <si>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</si>
  <si>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</si>
  <si>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</si>
  <si>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</si>
  <si>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</si>
  <si>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</si>
  <si>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</si>
  <si>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</si>
  <si>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</si>
  <si>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</si>
  <si>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</si>
  <si>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</si>
  <si>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</si>
  <si>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</si>
  <si>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</si>
  <si>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</si>
  <si>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</si>
  <si>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</si>
  <si>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</si>
  <si>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</si>
  <si>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</si>
  <si>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</si>
  <si>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</si>
  <si>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</si>
  <si>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</si>
  <si>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</si>
  <si>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</si>
  <si>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</si>
  <si>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</si>
  <si>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</si>
  <si>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</si>
  <si>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</si>
  <si>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</si>
  <si>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</si>
  <si>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</si>
  <si>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</si>
  <si>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</si>
  <si>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</si>
  <si>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</si>
  <si>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</si>
  <si>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</si>
  <si>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</si>
  <si>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</si>
  <si>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</si>
  <si>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</si>
  <si>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</si>
  <si>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</si>
  <si>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</si>
  <si>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</si>
  <si>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</si>
  <si>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</si>
  <si>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</si>
  <si>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</si>
  <si>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</si>
  <si>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</si>
  <si>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</si>
  <si>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</si>
  <si>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</si>
  <si>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</si>
  <si>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</si>
  <si>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</si>
  <si>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</si>
  <si>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</si>
  <si>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</si>
  <si>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</si>
  <si>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</si>
  <si>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</si>
  <si>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</si>
  <si>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</si>
  <si>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</si>
  <si>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</si>
  <si>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</si>
  <si>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</si>
  <si>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</si>
  <si>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</si>
  <si>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</si>
  <si>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</si>
  <si>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</si>
  <si>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</si>
  <si>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</si>
  <si>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</si>
  <si>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</si>
  <si>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</si>
  <si>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</si>
  <si>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</si>
  <si>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</si>
  <si>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</si>
  <si>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</si>
  <si>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</si>
  <si>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</si>
  <si>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</si>
  <si>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</si>
  <si>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</si>
  <si>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</si>
  <si>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</si>
  <si>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</si>
  <si>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</si>
  <si>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</si>
  <si>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</si>
  <si>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</si>
  <si>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</si>
  <si>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</si>
  <si>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</si>
  <si>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</si>
  <si>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</si>
  <si>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</si>
  <si>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</si>
  <si>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</si>
  <si>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</si>
  <si>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</si>
  <si>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</si>
  <si>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</si>
  <si>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</si>
  <si>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</si>
  <si>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</si>
  <si>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</si>
  <si>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</si>
  <si>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</si>
  <si>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</si>
  <si>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</si>
  <si>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</si>
  <si>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</si>
  <si>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</si>
  <si>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</si>
  <si>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</si>
  <si>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</si>
  <si>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</si>
  <si>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</si>
  <si>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</si>
  <si>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</si>
  <si>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</si>
  <si>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</si>
  <si>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</si>
  <si>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</si>
  <si>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</si>
  <si>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</si>
  <si>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</si>
  <si>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</si>
  <si>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</si>
  <si>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</si>
  <si>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</si>
  <si>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</si>
  <si>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</si>
  <si>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</si>
  <si>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</si>
  <si>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</si>
  <si>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</si>
  <si>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</si>
  <si>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</si>
  <si>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</si>
  <si>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</si>
  <si>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</si>
  <si>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</si>
  <si>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</si>
  <si>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</si>
  <si>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</si>
  <si>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</si>
  <si>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</si>
  <si>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</si>
  <si>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</si>
  <si>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</si>
  <si>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</si>
  <si>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</si>
  <si>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</si>
  <si>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</si>
  <si>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</si>
  <si>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</si>
  <si>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</si>
  <si>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</si>
  <si>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</si>
  <si>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</si>
  <si>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</si>
  <si>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</si>
  <si>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</si>
  <si>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</si>
  <si>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</si>
  <si>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</si>
  <si>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</si>
  <si>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</si>
  <si>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</si>
  <si>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</si>
  <si>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</si>
  <si>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</si>
  <si>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</si>
  <si>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</si>
  <si>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</si>
  <si>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</si>
  <si>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</si>
  <si>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</si>
  <si>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</si>
  <si>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</si>
  <si>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</si>
  <si>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</si>
  <si>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</si>
  <si>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</si>
  <si>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</si>
  <si>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</si>
  <si>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</si>
  <si>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</si>
  <si>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</si>
  <si>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</si>
  <si>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</si>
  <si>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</si>
  <si>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</si>
  <si>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</si>
  <si>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</si>
  <si>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</si>
  <si>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</si>
  <si>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</si>
  <si>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</si>
  <si>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</si>
  <si>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</si>
  <si>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</si>
  <si>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</si>
  <si>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</si>
  <si>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</si>
  <si>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</si>
  <si>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</si>
  <si>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</si>
  <si>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</si>
  <si>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</si>
  <si>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</si>
  <si>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</si>
  <si>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</si>
  <si>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</si>
  <si>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</si>
  <si>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</si>
  <si>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</si>
  <si>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</si>
  <si>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</si>
  <si>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</si>
  <si>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</si>
  <si>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</si>
  <si>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</si>
  <si>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</si>
  <si>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</si>
  <si>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</si>
  <si>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</si>
  <si>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</si>
  <si>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</si>
  <si>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</si>
  <si>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</si>
  <si>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</si>
  <si>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</si>
  <si>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</si>
  <si>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</si>
  <si>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</si>
  <si>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</si>
  <si>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</si>
  <si>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</si>
  <si>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</si>
  <si>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</si>
  <si>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</si>
  <si>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</si>
  <si>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</si>
  <si>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</si>
  <si>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</si>
  <si>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</si>
  <si>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</si>
  <si>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</si>
  <si>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</si>
  <si>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</si>
  <si>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</si>
  <si>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</si>
  <si>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</si>
  <si>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</si>
  <si>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</si>
  <si>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</si>
  <si>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</si>
  <si>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</si>
  <si>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</si>
  <si>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</si>
  <si>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</si>
  <si>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</si>
  <si>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</si>
  <si>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</si>
  <si>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</si>
  <si>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</si>
  <si>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</si>
  <si>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</si>
  <si>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</si>
  <si>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</si>
  <si>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</si>
  <si>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</si>
  <si>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</si>
  <si>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</si>
  <si>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</si>
  <si>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</si>
  <si>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</si>
  <si>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</si>
  <si>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</si>
  <si>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</si>
  <si>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</si>
  <si>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</si>
  <si>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</si>
  <si>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</si>
  <si>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</si>
  <si>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</si>
  <si>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</si>
  <si>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</si>
  <si>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</si>
  <si>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</si>
  <si>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</si>
  <si>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</si>
  <si>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</si>
  <si>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</si>
  <si>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</si>
  <si>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</si>
  <si>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</si>
  <si>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</si>
  <si>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</si>
  <si>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</si>
  <si>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</si>
  <si>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</si>
  <si>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</si>
  <si>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</si>
  <si>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</si>
  <si>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</si>
  <si>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</si>
  <si>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</si>
  <si>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</si>
  <si>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</si>
  <si>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</si>
  <si>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</si>
  <si>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</si>
  <si>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</si>
  <si>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</si>
  <si>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</si>
  <si>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</si>
  <si>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</si>
  <si>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</si>
  <si>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</si>
  <si>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</si>
  <si>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</si>
  <si>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</si>
  <si>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</si>
  <si>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</si>
  <si>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</si>
  <si>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</si>
  <si>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</si>
  <si>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</si>
  <si>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</si>
  <si>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</si>
  <si>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</si>
  <si>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</si>
  <si>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</si>
  <si>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</si>
  <si>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</si>
  <si>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</si>
  <si>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</si>
  <si>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</si>
  <si>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</si>
  <si>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</si>
  <si>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</si>
  <si>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</si>
  <si>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</si>
  <si>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</si>
  <si>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</si>
  <si>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</si>
  <si>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</si>
  <si>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</si>
  <si>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</si>
  <si>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</si>
  <si>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</si>
  <si>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</si>
  <si>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</si>
  <si>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</si>
  <si>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</si>
  <si>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</si>
  <si>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</si>
  <si>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</si>
  <si>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</si>
  <si>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</si>
  <si>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</si>
  <si>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</si>
  <si>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</si>
  <si>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</si>
  <si>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</si>
  <si>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</si>
  <si>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</si>
  <si>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</si>
  <si>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</si>
  <si>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</si>
  <si>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</si>
  <si>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</si>
  <si>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</si>
  <si>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</si>
  <si>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</si>
  <si>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</si>
  <si>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</si>
  <si>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</si>
  <si>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</si>
  <si>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</si>
  <si>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</si>
  <si>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</si>
  <si>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</si>
  <si>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</si>
  <si>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</si>
  <si>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</si>
  <si>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</si>
  <si>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</si>
  <si>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</si>
  <si>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</si>
  <si>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</si>
  <si>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</si>
  <si>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</si>
  <si>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</si>
  <si>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</si>
  <si>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</si>
  <si>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</si>
  <si>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</si>
  <si>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</si>
  <si>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</si>
  <si>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</si>
  <si>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</si>
  <si>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</si>
  <si>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</si>
  <si>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</si>
  <si>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</si>
  <si>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</si>
  <si>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</si>
  <si>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</si>
  <si>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</si>
  <si>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</si>
  <si>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</si>
  <si>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</si>
  <si>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</si>
  <si>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</si>
  <si>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</si>
  <si>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</si>
  <si>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</si>
  <si>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</si>
  <si>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</si>
  <si>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</si>
  <si>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</si>
  <si>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</si>
  <si>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</si>
  <si>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</si>
  <si>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</si>
  <si>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</si>
  <si>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</si>
  <si>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</si>
  <si>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</si>
  <si>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</si>
  <si>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</si>
  <si>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</si>
  <si>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</si>
  <si>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</si>
  <si>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</si>
  <si>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</si>
  <si>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</si>
  <si>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</si>
  <si>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</si>
  <si>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</si>
  <si>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</si>
  <si>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</si>
  <si>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</si>
  <si>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</si>
  <si>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</si>
  <si>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</si>
  <si>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</si>
  <si>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</si>
  <si>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</si>
  <si>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</si>
  <si>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</si>
  <si>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</si>
  <si>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</si>
  <si>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</si>
  <si>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</si>
  <si>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</si>
  <si>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</si>
  <si>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</si>
  <si>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</si>
  <si>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</si>
  <si>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</si>
  <si>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</si>
  <si>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</si>
  <si>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</si>
  <si>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</si>
  <si>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</si>
  <si>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</si>
  <si>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</si>
  <si>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</si>
  <si>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</si>
  <si>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</si>
  <si>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</si>
  <si>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</si>
  <si>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</si>
  <si>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</si>
  <si>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</si>
  <si>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</si>
  <si>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</si>
  <si>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</si>
  <si>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</si>
  <si>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</si>
  <si>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</si>
  <si>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</si>
  <si>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</si>
  <si>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</si>
  <si>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</si>
  <si>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</si>
  <si>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</si>
  <si>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</si>
  <si>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</si>
  <si>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</si>
  <si>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</si>
  <si>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</si>
  <si>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</si>
  <si>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</si>
  <si>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</si>
  <si>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</si>
  <si>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</si>
  <si>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</si>
  <si>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</si>
  <si>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</si>
  <si>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</si>
  <si>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</si>
  <si>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</si>
  <si>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</si>
  <si>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</si>
  <si>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</si>
  <si>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</si>
  <si>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</si>
  <si>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</si>
  <si>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</si>
  <si>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</si>
  <si>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</si>
  <si>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</si>
  <si>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</si>
  <si>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</si>
  <si>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</si>
  <si>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</si>
  <si>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</si>
  <si>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</si>
  <si>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</si>
  <si>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</si>
  <si>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</si>
  <si>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</si>
  <si>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</si>
  <si>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</si>
  <si>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</si>
  <si>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</si>
  <si>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</si>
  <si>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</si>
  <si>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</si>
  <si>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</si>
  <si>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</si>
  <si>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</si>
  <si>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</si>
  <si>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</si>
  <si>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</si>
  <si>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</si>
  <si>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</si>
  <si>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</si>
  <si>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</si>
  <si>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</si>
  <si>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</si>
  <si>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</si>
  <si>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</si>
  <si>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</si>
  <si>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</si>
  <si>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</si>
  <si>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</si>
  <si>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</si>
  <si>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</si>
  <si>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</si>
  <si>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</si>
  <si>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</si>
  <si>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</si>
  <si>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</si>
  <si>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</si>
  <si>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</si>
  <si>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</si>
  <si>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</si>
  <si>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</si>
  <si>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</si>
  <si>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</si>
  <si>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</si>
  <si>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</si>
  <si>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</si>
  <si>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</si>
  <si>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</si>
  <si>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</si>
  <si>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</si>
  <si>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</si>
  <si>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</si>
  <si>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</si>
  <si>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</si>
  <si>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</si>
  <si>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</si>
  <si>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</si>
  <si>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</si>
  <si>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</si>
  <si>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</si>
  <si>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</si>
  <si>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</si>
  <si>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</si>
  <si>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</si>
  <si>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</si>
  <si>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</si>
  <si>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</si>
  <si>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</si>
  <si>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</si>
  <si>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</si>
  <si>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</si>
  <si>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</si>
  <si>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</si>
  <si>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</si>
  <si>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</si>
  <si>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</si>
  <si>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</si>
  <si>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</si>
  <si>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</si>
  <si>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</si>
  <si>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</si>
  <si>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</si>
  <si>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</si>
  <si>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</si>
  <si>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</si>
  <si>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</si>
  <si>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</si>
  <si>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</si>
  <si>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</si>
  <si>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</si>
  <si>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</si>
  <si>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</si>
  <si>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</si>
  <si>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</si>
  <si>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</si>
  <si>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</si>
  <si>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</si>
  <si>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</si>
  <si>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</si>
  <si>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</si>
  <si>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</si>
  <si>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</si>
  <si>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</si>
  <si>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</si>
  <si>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</si>
  <si>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</si>
  <si>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</si>
  <si>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</si>
  <si>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</si>
  <si>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</si>
  <si>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</si>
  <si>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</si>
  <si>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</si>
  <si>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</si>
  <si>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</si>
  <si>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</si>
  <si>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</si>
  <si>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</si>
  <si>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</si>
  <si>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</si>
  <si>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</si>
  <si>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</si>
  <si>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</si>
  <si>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</si>
  <si>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</si>
  <si>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</si>
  <si>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</si>
  <si>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</si>
  <si>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</si>
  <si>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</si>
  <si>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</si>
  <si>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</si>
  <si>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</si>
  <si>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</si>
  <si>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</si>
  <si>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</si>
  <si>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</si>
  <si>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</si>
  <si>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</si>
  <si>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</si>
  <si>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</si>
  <si>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</si>
  <si>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</si>
  <si>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</si>
  <si>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</si>
  <si>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</si>
  <si>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</si>
  <si>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</si>
  <si>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</si>
  <si>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</si>
  <si>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</si>
  <si>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</si>
  <si>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</si>
  <si>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</si>
  <si>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</si>
  <si>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</si>
  <si>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</si>
  <si>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</si>
  <si>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</si>
  <si>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</si>
  <si>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</si>
  <si>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</si>
  <si>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</si>
  <si>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</si>
  <si>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</si>
  <si>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</si>
  <si>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</si>
  <si>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</si>
  <si>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</si>
  <si>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</si>
  <si>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</si>
  <si>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</si>
  <si>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</si>
  <si>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</si>
  <si>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</si>
  <si>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</si>
  <si>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</si>
  <si>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</si>
  <si>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</si>
  <si>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</si>
  <si>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</si>
  <si>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</si>
  <si>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</si>
  <si>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</si>
  <si>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</si>
  <si>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</si>
  <si>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</si>
  <si>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</si>
  <si>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</si>
  <si>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</si>
  <si>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</si>
  <si>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</si>
  <si>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</si>
  <si>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</si>
  <si>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</si>
  <si>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</si>
  <si>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</si>
  <si>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</si>
  <si>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</si>
  <si>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</si>
  <si>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</si>
  <si>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</si>
  <si>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</si>
  <si>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</si>
  <si>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</si>
  <si>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</si>
  <si>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</si>
  <si>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</si>
  <si>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</si>
  <si>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</si>
  <si>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</si>
  <si>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</si>
  <si>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</si>
  <si>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</si>
  <si>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</si>
  <si>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</si>
  <si>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</si>
  <si>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</si>
  <si>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</si>
  <si>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</si>
  <si>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</si>
  <si>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</si>
  <si>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</si>
  <si>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</si>
  <si>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</si>
  <si>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</si>
  <si>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</si>
  <si>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</si>
  <si>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</si>
  <si>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</si>
  <si>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</si>
  <si>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</si>
  <si>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</si>
  <si>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</si>
  <si>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</si>
  <si>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</si>
  <si>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</si>
  <si>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</si>
  <si>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</si>
  <si>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</si>
  <si>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</si>
  <si>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</si>
  <si>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</si>
  <si>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</si>
  <si>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</si>
  <si>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</si>
  <si>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</si>
  <si>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</si>
  <si>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</si>
  <si>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</si>
  <si>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</si>
  <si>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</si>
  <si>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</si>
  <si>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</si>
  <si>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</si>
  <si>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</si>
  <si>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</si>
  <si>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</si>
  <si>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</si>
  <si>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</si>
  <si>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</si>
  <si>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</si>
  <si>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</si>
  <si>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</si>
  <si>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</si>
  <si>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</si>
  <si>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</si>
  <si>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</si>
  <si>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</si>
  <si>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</si>
  <si>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</si>
  <si>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</si>
  <si>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</si>
  <si>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</si>
  <si>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</si>
  <si>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</si>
  <si>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</si>
  <si>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</si>
  <si>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</si>
  <si>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</si>
  <si>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</si>
  <si>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</si>
  <si>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</si>
  <si>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</si>
  <si>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</si>
  <si>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</si>
  <si>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</si>
  <si>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</si>
  <si>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</si>
  <si>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</si>
  <si>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</si>
  <si>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</si>
  <si>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</si>
  <si>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</si>
  <si>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</si>
  <si>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</si>
  <si>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</si>
  <si>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</si>
  <si>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</si>
  <si>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</si>
  <si>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</si>
  <si>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</si>
  <si>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</si>
  <si>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</si>
  <si>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</si>
  <si>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</si>
  <si>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</si>
  <si>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</si>
  <si>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</si>
  <si>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</si>
  <si>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</si>
  <si>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</si>
  <si>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</si>
  <si>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</si>
  <si>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</si>
  <si>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</si>
  <si>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</si>
  <si>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</si>
  <si>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</si>
  <si>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</si>
  <si>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</si>
  <si>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</si>
  <si>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</si>
  <si>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</si>
  <si>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</si>
  <si>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</si>
  <si>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</si>
  <si>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</si>
  <si>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</si>
  <si>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</si>
  <si>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</si>
  <si>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</si>
  <si>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</si>
  <si>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</si>
  <si>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</si>
  <si>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</si>
  <si>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</si>
  <si>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</si>
  <si>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</si>
  <si>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</si>
  <si>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</si>
  <si>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</si>
  <si>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</si>
  <si>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</si>
  <si>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</si>
  <si>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</si>
  <si>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</si>
  <si>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</si>
  <si>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</si>
  <si>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</si>
  <si>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</si>
  <si>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</si>
  <si>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</si>
  <si>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</si>
  <si>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</si>
  <si>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</si>
  <si>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</si>
  <si>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</si>
  <si>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</si>
  <si>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</si>
  <si>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</si>
  <si>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</si>
  <si>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</si>
  <si>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</si>
  <si>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</si>
  <si>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</si>
  <si>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</si>
  <si>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</si>
  <si>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</si>
  <si>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</si>
  <si>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</si>
  <si>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</si>
  <si>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</si>
  <si>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</si>
  <si>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</si>
  <si>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</si>
  <si>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</si>
  <si>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</si>
  <si>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</si>
  <si>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</si>
  <si>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</si>
  <si>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</si>
  <si>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</si>
  <si>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</si>
  <si>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</si>
  <si>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</si>
  <si>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</si>
  <si>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</si>
  <si>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</si>
  <si>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</si>
  <si>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</si>
  <si>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</si>
  <si>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</si>
  <si>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</si>
  <si>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</si>
  <si>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</si>
  <si>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</si>
  <si>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</si>
  <si>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</si>
  <si>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</si>
  <si>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</si>
  <si>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</si>
  <si>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</si>
  <si>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</si>
  <si>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</si>
  <si>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</si>
  <si>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</si>
  <si>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</si>
  <si>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</si>
  <si>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</si>
  <si>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</si>
  <si>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</si>
  <si>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</si>
  <si>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</si>
  <si>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</si>
  <si>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</si>
  <si>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</si>
  <si>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</si>
  <si>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</si>
  <si>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</si>
  <si>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</si>
  <si>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</si>
  <si>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</si>
  <si>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</si>
  <si>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</si>
  <si>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</si>
  <si>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</si>
  <si>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</si>
  <si>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</si>
  <si>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</si>
  <si>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</si>
  <si>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</si>
  <si>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</si>
  <si>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</si>
  <si>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</si>
  <si>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</si>
  <si>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</si>
  <si>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</si>
  <si>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</si>
  <si>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</si>
  <si>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</si>
  <si>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</si>
  <si>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</si>
  <si>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</si>
  <si>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</si>
  <si>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</si>
  <si>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</si>
  <si>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</si>
  <si>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</si>
  <si>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</si>
  <si>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</si>
  <si>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</si>
  <si>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</si>
  <si>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</si>
  <si>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</si>
  <si>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</si>
  <si>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</si>
  <si>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</si>
  <si>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</si>
  <si>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</si>
  <si>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</si>
  <si>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</si>
  <si>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</si>
  <si>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</si>
  <si>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</si>
  <si>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</si>
  <si>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</si>
  <si>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</si>
  <si>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</si>
  <si>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</si>
  <si>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</si>
  <si>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</si>
  <si>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</si>
  <si>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</si>
  <si>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</si>
  <si>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</si>
  <si>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</si>
  <si>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</si>
  <si>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</si>
  <si>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</si>
  <si>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</si>
  <si>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</si>
  <si>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</si>
  <si>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</si>
  <si>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</si>
  <si>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</si>
  <si>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</si>
  <si>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</si>
  <si>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</si>
  <si>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</si>
  <si>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</si>
  <si>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</si>
  <si>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</si>
  <si>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</si>
  <si>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</si>
  <si>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</si>
  <si>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</si>
  <si>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</si>
  <si>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</si>
  <si>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</si>
  <si>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</si>
  <si>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</si>
  <si>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</si>
  <si>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</si>
  <si>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</si>
  <si>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</si>
  <si>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</si>
  <si>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</si>
  <si>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</si>
  <si>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</si>
  <si>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</si>
  <si>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</si>
  <si>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</si>
  <si>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</si>
  <si>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</si>
  <si>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</si>
  <si>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</si>
  <si>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</si>
  <si>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</si>
  <si>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</si>
  <si>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</si>
  <si>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</si>
  <si>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</si>
  <si>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</si>
  <si>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</si>
  <si>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</si>
  <si>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</si>
  <si>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</si>
  <si>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</si>
  <si>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</si>
  <si>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</si>
  <si>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</si>
  <si>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</si>
  <si>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</si>
  <si>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</si>
  <si>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</si>
  <si>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</si>
  <si>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</si>
  <si>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</si>
  <si>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</si>
  <si>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</si>
  <si>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</si>
  <si>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</si>
  <si>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</si>
  <si>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</si>
  <si>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</si>
  <si>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</si>
  <si>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</si>
  <si>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</si>
  <si>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</si>
  <si>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</si>
  <si>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</si>
  <si>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</si>
  <si>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</si>
  <si>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</si>
  <si>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</si>
  <si>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</si>
  <si>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</si>
  <si>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</si>
  <si>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</si>
  <si>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</si>
  <si>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</si>
  <si>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</si>
  <si>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</si>
  <si>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</si>
  <si>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</si>
  <si>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</si>
  <si>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</si>
  <si>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</si>
  <si>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</si>
  <si>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</si>
  <si>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</si>
  <si>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</si>
  <si>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</si>
  <si>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</si>
  <si>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</si>
  <si>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</si>
  <si>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</si>
  <si>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</si>
  <si>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</si>
  <si>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</si>
  <si>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</si>
  <si>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</si>
  <si>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</si>
  <si>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</si>
  <si>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</si>
  <si>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</si>
  <si>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</si>
  <si>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</si>
  <si>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</si>
  <si>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</si>
  <si>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</si>
  <si>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</si>
  <si>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</si>
  <si>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</si>
  <si>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</si>
  <si>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</si>
  <si>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</si>
  <si>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</si>
  <si>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</si>
  <si>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</si>
  <si>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</si>
  <si>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</si>
  <si>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</si>
  <si>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</si>
  <si>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</si>
  <si>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</si>
  <si>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</si>
  <si>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</si>
  <si>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</si>
  <si>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</si>
  <si>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</si>
  <si>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</si>
  <si>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</si>
  <si>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</si>
  <si>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</si>
  <si>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</si>
  <si>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</si>
  <si>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</si>
  <si>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</si>
  <si>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</si>
  <si>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</si>
  <si>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</si>
  <si>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</si>
  <si>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</si>
  <si>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</si>
  <si>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</si>
  <si>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</si>
  <si>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</si>
  <si>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</si>
  <si>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</si>
  <si>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</si>
  <si>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</si>
  <si>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</si>
  <si>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</si>
  <si>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</si>
  <si>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</si>
  <si>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</si>
  <si>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</si>
  <si>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</si>
  <si>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</si>
  <si>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</si>
  <si>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</si>
  <si>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</si>
  <si>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</si>
  <si>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</si>
  <si>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</si>
  <si>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</si>
  <si>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</si>
  <si>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</si>
  <si>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</si>
  <si>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</si>
  <si>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</si>
  <si>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</si>
  <si>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</si>
  <si>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</si>
  <si>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</si>
  <si>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</si>
  <si>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</si>
  <si>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</si>
  <si>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</si>
  <si>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</si>
  <si>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</si>
  <si>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</si>
  <si>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</si>
  <si>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</si>
  <si>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</si>
  <si>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</si>
  <si>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</si>
  <si>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</si>
  <si>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</si>
  <si>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</si>
  <si>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</si>
  <si>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</si>
  <si>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</si>
  <si>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</si>
  <si>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</si>
  <si>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</si>
  <si>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</si>
  <si>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</si>
  <si>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</si>
  <si>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</si>
  <si>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</si>
  <si>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</si>
  <si>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</si>
  <si>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</si>
  <si>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</si>
  <si>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</si>
  <si>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</si>
  <si>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</si>
  <si>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</si>
  <si>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</si>
  <si>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</si>
  <si>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</si>
  <si>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</si>
  <si>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</si>
  <si>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</si>
  <si>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</si>
  <si>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</si>
  <si>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</si>
  <si>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</si>
  <si>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</si>
  <si>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</si>
  <si>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</si>
  <si>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</si>
  <si>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</si>
  <si>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</si>
  <si>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</si>
  <si>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</si>
  <si>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</si>
  <si>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</si>
  <si>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</si>
  <si>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</si>
  <si>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</si>
  <si>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</si>
  <si>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</si>
  <si>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</si>
  <si>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</si>
  <si>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</si>
  <si>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</si>
  <si>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</si>
  <si>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</si>
  <si>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</si>
  <si>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</si>
  <si>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</si>
  <si>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</si>
  <si>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</si>
  <si>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</si>
  <si>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</si>
  <si>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</si>
  <si>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</si>
  <si>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</si>
  <si>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</si>
  <si>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</si>
  <si>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</si>
  <si>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</si>
  <si>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</si>
  <si>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</si>
  <si>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</si>
  <si>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</si>
  <si>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</si>
  <si>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</si>
  <si>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</si>
  <si>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</si>
  <si>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</si>
  <si>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</si>
  <si>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</si>
  <si>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</si>
  <si>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</si>
  <si>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</si>
  <si>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</si>
  <si>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</si>
  <si>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</si>
  <si>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</si>
  <si>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</si>
  <si>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</si>
  <si>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</si>
  <si>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</si>
  <si>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</si>
  <si>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</si>
  <si>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</si>
  <si>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</si>
  <si>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</si>
  <si>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</si>
  <si>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</si>
  <si>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</si>
  <si>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</si>
  <si>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</si>
  <si>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</si>
  <si>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</si>
  <si>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</si>
  <si>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</si>
  <si>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</si>
  <si>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</si>
  <si>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</si>
  <si>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</si>
  <si>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</si>
  <si>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</si>
  <si>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</si>
  <si>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</si>
  <si>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</si>
  <si>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</si>
  <si>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</si>
  <si>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</si>
  <si>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</si>
  <si>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</si>
  <si>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</si>
  <si>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</si>
  <si>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</si>
  <si>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</si>
  <si>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</si>
  <si>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</si>
  <si>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</si>
  <si>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</si>
  <si>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</si>
  <si>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</si>
  <si>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</si>
  <si>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</si>
  <si>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</si>
  <si>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</si>
  <si>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</si>
  <si>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</si>
  <si>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</si>
  <si>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</si>
  <si>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</si>
  <si>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</si>
  <si>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</si>
  <si>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</si>
  <si>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</si>
  <si>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</si>
  <si>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</si>
  <si>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</si>
  <si>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</si>
  <si>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</si>
  <si>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</si>
  <si>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</si>
  <si>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</si>
  <si>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</si>
  <si>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</si>
  <si>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</si>
  <si>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</si>
  <si>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</si>
  <si>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</si>
  <si>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</si>
  <si>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</si>
  <si>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</si>
  <si>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</si>
  <si>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</si>
  <si>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</si>
  <si>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</si>
  <si>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</si>
  <si>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</si>
  <si>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</si>
  <si>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</si>
  <si>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</si>
  <si>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</si>
  <si>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</si>
  <si>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</si>
  <si>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</si>
  <si>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</si>
  <si>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</si>
  <si>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</si>
  <si>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</si>
  <si>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</si>
  <si>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</si>
  <si>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</si>
  <si>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</si>
  <si>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</si>
  <si>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</si>
  <si>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</si>
  <si>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</si>
  <si>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</si>
  <si>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</si>
  <si>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</si>
  <si>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</si>
  <si>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</si>
  <si>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</si>
  <si>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</si>
  <si>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</si>
  <si>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</si>
  <si>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</si>
  <si>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</si>
  <si>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</si>
  <si>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</si>
  <si>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</si>
  <si>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</si>
  <si>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</si>
  <si>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</si>
  <si>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</si>
  <si>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</si>
  <si>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</si>
  <si>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</si>
  <si>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</si>
  <si>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</si>
  <si>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</si>
  <si>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</si>
  <si>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</si>
  <si>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</si>
  <si>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</si>
  <si>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</si>
  <si>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</si>
  <si>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</si>
  <si>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</si>
  <si>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</si>
  <si>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</si>
  <si>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</si>
  <si>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</si>
  <si>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</si>
  <si>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</si>
  <si>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</si>
  <si>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</si>
  <si>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</si>
  <si>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</si>
  <si>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</si>
  <si>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</si>
  <si>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</si>
  <si>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</si>
  <si>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</si>
  <si>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</si>
  <si>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</si>
  <si>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</si>
  <si>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</si>
  <si>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</si>
  <si>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</si>
  <si>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</si>
  <si>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</si>
  <si>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</si>
  <si>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</si>
  <si>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</si>
  <si>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</si>
  <si>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</si>
  <si>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</si>
  <si>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</si>
  <si>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</si>
  <si>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</si>
  <si>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</si>
  <si>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</si>
  <si>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</si>
  <si>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</si>
  <si>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</si>
  <si>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</si>
  <si>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</si>
  <si>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</si>
  <si>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</si>
  <si>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</si>
  <si>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</si>
  <si>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</si>
  <si>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</si>
  <si>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</si>
  <si>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</si>
  <si>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</si>
  <si>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</si>
  <si>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</si>
  <si>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</si>
  <si>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</si>
  <si>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</si>
  <si>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</si>
  <si>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</si>
  <si>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</si>
  <si>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</si>
  <si>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</si>
  <si>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</si>
  <si>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</si>
  <si>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</si>
  <si>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</si>
  <si>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</si>
  <si>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</si>
  <si>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</si>
  <si>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</si>
  <si>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</si>
  <si>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</si>
  <si>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</si>
  <si>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</si>
  <si>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</si>
  <si>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</si>
  <si>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</si>
  <si>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</si>
  <si>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</si>
  <si>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</si>
  <si>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</si>
  <si>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</si>
  <si>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</si>
  <si>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</si>
  <si>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</si>
  <si>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</si>
  <si>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</si>
  <si>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</si>
  <si>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</si>
  <si>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</si>
  <si>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</si>
  <si>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</si>
  <si>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</si>
  <si>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</si>
  <si>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</si>
  <si>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</si>
  <si>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</si>
  <si>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</si>
  <si>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</si>
  <si>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</si>
  <si>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</si>
  <si>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</si>
  <si>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</si>
  <si>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</si>
  <si>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</si>
  <si>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</si>
  <si>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</si>
  <si>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</si>
  <si>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</si>
  <si>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</si>
  <si>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</si>
  <si>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</si>
  <si>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</si>
  <si>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</si>
  <si>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</si>
  <si>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</si>
  <si>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</si>
  <si>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</si>
  <si>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</si>
  <si>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</si>
  <si>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</si>
  <si>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</si>
  <si>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</si>
  <si>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</si>
  <si>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</si>
  <si>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</si>
  <si>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</si>
  <si>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</si>
  <si>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</si>
  <si>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</si>
  <si>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</si>
  <si>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</si>
  <si>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</si>
  <si>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</si>
  <si>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</si>
  <si>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</si>
  <si>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</si>
  <si>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</si>
  <si>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</si>
  <si>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</si>
  <si>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</si>
  <si>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</si>
  <si>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</si>
  <si>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</si>
  <si>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</si>
  <si>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</si>
  <si>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</si>
  <si>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</si>
  <si>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</si>
  <si>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</si>
  <si>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</si>
  <si>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</si>
  <si>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</si>
  <si>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</si>
  <si>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</si>
  <si>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</si>
  <si>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</si>
  <si>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</si>
  <si>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</si>
  <si>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</si>
  <si>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</si>
  <si>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</si>
  <si>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</si>
  <si>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</si>
  <si>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</si>
  <si>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</si>
  <si>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</si>
  <si>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</si>
  <si>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</si>
  <si>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</si>
  <si>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</si>
  <si>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</si>
  <si>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</si>
  <si>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</si>
  <si>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</si>
  <si>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</si>
  <si>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</si>
  <si>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</si>
  <si>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</si>
  <si>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</si>
  <si>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</si>
  <si>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</si>
  <si>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</si>
  <si>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</si>
  <si>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</si>
  <si>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</si>
  <si>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</si>
  <si>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</si>
  <si>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</si>
  <si>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</si>
  <si>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</si>
  <si>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</si>
  <si>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</si>
  <si>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</si>
  <si>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</si>
  <si>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</si>
  <si>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</si>
  <si>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</si>
  <si>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</si>
  <si>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</si>
  <si>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</si>
  <si>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</si>
  <si>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</si>
  <si>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</si>
  <si>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</si>
  <si>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</si>
  <si>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</si>
  <si>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</si>
  <si>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</si>
  <si>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</si>
  <si>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</si>
  <si>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</si>
  <si>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</si>
  <si>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</si>
  <si>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</si>
  <si>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</si>
  <si>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</si>
  <si>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</si>
  <si>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</si>
  <si>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</si>
  <si>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</si>
  <si>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</si>
  <si>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</si>
  <si>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</si>
  <si>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</si>
  <si>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</si>
  <si>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</si>
  <si>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</si>
  <si>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</si>
  <si>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</si>
  <si>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</si>
  <si>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</si>
  <si>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</si>
  <si>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</si>
  <si>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</si>
  <si>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</si>
  <si>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</si>
  <si>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</si>
  <si>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</si>
  <si>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</si>
  <si>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</si>
  <si>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</si>
  <si>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</si>
  <si>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</si>
  <si>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</si>
  <si>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</si>
  <si>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</si>
  <si>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</si>
  <si>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</si>
  <si>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</si>
  <si>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</si>
  <si>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</si>
  <si>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</si>
  <si>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</si>
  <si>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</si>
  <si>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</si>
  <si>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</si>
  <si>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</si>
  <si>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</si>
  <si>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</si>
  <si>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</si>
  <si>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</si>
  <si>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</si>
  <si>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</si>
  <si>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</si>
  <si>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</si>
  <si>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</si>
  <si>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</si>
  <si>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</si>
  <si>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</si>
  <si>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</si>
  <si>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</si>
  <si>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</si>
  <si>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</si>
  <si>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</si>
  <si>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</si>
  <si>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</si>
  <si>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</si>
  <si>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</si>
  <si>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</si>
  <si>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</si>
  <si>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</si>
  <si>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</si>
  <si>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</si>
  <si>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</si>
  <si>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</si>
  <si>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</si>
  <si>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</si>
  <si>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</si>
  <si>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</si>
  <si>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</si>
  <si>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</si>
  <si>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</si>
  <si>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</si>
  <si>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</si>
  <si>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</si>
  <si>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</si>
  <si>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</si>
  <si>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</si>
  <si>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</si>
  <si>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</si>
  <si>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</si>
  <si>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</si>
  <si>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</si>
  <si>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</si>
  <si>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</si>
  <si>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</si>
  <si>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</si>
  <si>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</si>
  <si>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</si>
  <si>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</si>
  <si>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</si>
  <si>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</si>
  <si>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</si>
  <si>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</si>
  <si>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</si>
  <si>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</si>
  <si>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</si>
  <si>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</si>
  <si>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</si>
  <si>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</si>
  <si>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</si>
  <si>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</si>
  <si>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</si>
  <si>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</si>
  <si>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</si>
  <si>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</si>
  <si>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</si>
  <si>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</si>
  <si>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</si>
  <si>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</si>
  <si>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</si>
  <si>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</si>
  <si>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</si>
  <si>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</si>
  <si>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</si>
  <si>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</si>
  <si>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</si>
  <si>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</si>
  <si>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</si>
  <si>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</si>
  <si>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</si>
  <si>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</si>
  <si>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</si>
  <si>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</si>
  <si>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</si>
  <si>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</si>
  <si>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</si>
  <si>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</si>
  <si>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</si>
  <si>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</si>
  <si>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</si>
  <si>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</si>
  <si>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</si>
  <si>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</si>
  <si>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</si>
  <si>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</si>
  <si>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</si>
  <si>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</si>
  <si>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</si>
  <si>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</si>
  <si>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</si>
  <si>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</si>
  <si>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</si>
  <si>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</si>
  <si>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</si>
  <si>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</si>
  <si>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</si>
  <si>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</si>
  <si>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</si>
  <si>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</si>
  <si>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</si>
  <si>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</si>
  <si>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</si>
  <si>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</si>
  <si>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</si>
  <si>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</si>
  <si>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</si>
  <si>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</si>
  <si>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</si>
  <si>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</si>
  <si>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</si>
  <si>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</si>
  <si>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</si>
  <si>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</si>
  <si>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</si>
  <si>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</si>
  <si>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</si>
  <si>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</si>
  <si>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</si>
  <si>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</si>
  <si>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</si>
  <si>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</si>
  <si>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</si>
  <si>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</si>
  <si>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</si>
  <si>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</si>
  <si>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</si>
  <si>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</si>
  <si>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</si>
  <si>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</si>
  <si>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</si>
  <si>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</si>
  <si>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</si>
  <si>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</si>
  <si>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</si>
  <si>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</si>
  <si>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</si>
  <si>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</si>
  <si>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</si>
  <si>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</si>
  <si>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</si>
  <si>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</si>
  <si>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</si>
  <si>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</si>
  <si>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</si>
  <si>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</si>
  <si>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</si>
  <si>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</si>
  <si>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</si>
  <si>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</si>
  <si>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</si>
  <si>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</si>
  <si>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</si>
  <si>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</si>
  <si>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</si>
  <si>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</si>
  <si>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</si>
  <si>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</si>
  <si>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</si>
  <si>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</si>
  <si>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</si>
  <si>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</si>
  <si>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</si>
  <si>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</si>
  <si>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</si>
  <si>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</si>
  <si>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</si>
  <si>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</si>
  <si>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</si>
  <si>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</si>
  <si>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</si>
  <si>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</si>
  <si>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</si>
  <si>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</si>
  <si>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</si>
  <si>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</si>
  <si>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</si>
  <si>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</si>
  <si>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</si>
  <si>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</si>
  <si>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</si>
  <si>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</si>
  <si>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</si>
  <si>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</si>
  <si>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</si>
  <si>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</si>
  <si>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</si>
  <si>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</si>
  <si>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</si>
  <si>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</si>
  <si>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</si>
  <si>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</si>
  <si>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</si>
  <si>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</si>
  <si>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</si>
  <si>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</si>
  <si>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</si>
  <si>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</si>
  <si>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</si>
  <si>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</si>
  <si>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</si>
  <si>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</si>
  <si>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</si>
  <si>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</si>
  <si>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</si>
  <si>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</si>
  <si>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</si>
  <si>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</si>
  <si>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</si>
  <si>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</si>
  <si>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</si>
  <si>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</si>
  <si>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</si>
  <si>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</si>
  <si>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</si>
  <si>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</si>
  <si>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</si>
  <si>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</si>
  <si>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</si>
  <si>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</si>
  <si>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</si>
  <si>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</si>
  <si>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</si>
  <si>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</si>
  <si>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</si>
  <si>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</si>
  <si>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</si>
  <si>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</si>
  <si>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</si>
  <si>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</si>
  <si>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</si>
  <si>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</si>
  <si>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</si>
  <si>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</si>
  <si>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</si>
  <si>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</si>
  <si>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</si>
  <si>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</si>
  <si>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</si>
  <si>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</si>
  <si>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</si>
  <si>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</si>
  <si>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</si>
  <si>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</si>
  <si>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</si>
  <si>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</si>
  <si>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</si>
  <si>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</si>
  <si>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</si>
  <si>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</si>
  <si>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</si>
  <si>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</si>
  <si>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</si>
  <si>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</si>
  <si>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</si>
  <si>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</si>
  <si>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</si>
  <si>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</si>
  <si>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</si>
  <si>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</si>
  <si>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</si>
  <si>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</si>
  <si>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</si>
  <si>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</si>
  <si>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</si>
  <si>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</si>
  <si>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</si>
  <si>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</si>
  <si>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</si>
  <si>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</si>
  <si>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</si>
  <si>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</si>
  <si>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</si>
  <si>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</si>
  <si>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</si>
  <si>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</si>
  <si>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</si>
  <si>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</si>
  <si>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</si>
  <si>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</si>
  <si>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</si>
  <si>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</si>
  <si>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</si>
  <si>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</si>
  <si>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</si>
  <si>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</si>
  <si>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</si>
  <si>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</si>
  <si>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</si>
  <si>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</si>
  <si>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</si>
  <si>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</si>
  <si>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</si>
  <si>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</si>
  <si>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</si>
  <si>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</si>
  <si>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</si>
  <si>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</si>
  <si>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</si>
  <si>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</si>
  <si>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</si>
  <si>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</si>
  <si>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</si>
  <si>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</si>
  <si>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</si>
  <si>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</si>
  <si>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</si>
  <si>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</si>
  <si>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</si>
  <si>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</si>
  <si>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</si>
  <si>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</si>
  <si>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</si>
  <si>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</si>
  <si>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</si>
  <si>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</si>
  <si>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</si>
  <si>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</si>
  <si>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</si>
  <si>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</si>
  <si>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</si>
  <si>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</si>
  <si>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</si>
  <si>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</si>
  <si>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</si>
  <si>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</si>
  <si>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</si>
  <si>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</si>
  <si>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</si>
  <si>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</si>
  <si>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</si>
  <si>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</si>
  <si>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</si>
  <si>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</si>
  <si>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</si>
  <si>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</si>
  <si>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</si>
  <si>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</si>
  <si>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</si>
  <si>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</si>
  <si>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</si>
  <si>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</si>
  <si>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</si>
  <si>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</si>
  <si>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</si>
  <si>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</si>
  <si>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</si>
  <si>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</si>
  <si>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</si>
  <si>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</si>
  <si>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</si>
  <si>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</si>
  <si>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</si>
  <si>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</si>
  <si>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</si>
  <si>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</si>
  <si>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</si>
  <si>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</si>
  <si>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</si>
  <si>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</si>
  <si>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</si>
  <si>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</si>
  <si>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</si>
  <si>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</si>
  <si>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</si>
  <si>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</si>
  <si>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</si>
  <si>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</si>
  <si>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</si>
  <si>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</si>
  <si>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</si>
  <si>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</si>
  <si>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</si>
  <si>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</si>
  <si>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</si>
  <si>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</si>
  <si>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</si>
  <si>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</si>
  <si>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</si>
  <si>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</si>
  <si>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</si>
  <si>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</si>
  <si>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</si>
  <si>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</si>
  <si>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</si>
  <si>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</si>
  <si>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</si>
  <si>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</si>
  <si>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</si>
  <si>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</si>
  <si>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</si>
  <si>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</si>
  <si>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</si>
  <si>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</si>
  <si>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</si>
  <si>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</si>
  <si>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</si>
  <si>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</si>
  <si>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</si>
  <si>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</si>
  <si>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</si>
  <si>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</si>
  <si>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</si>
  <si>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</si>
  <si>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</si>
  <si>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</si>
  <si>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</si>
  <si>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</si>
  <si>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</si>
  <si>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</si>
  <si>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</si>
  <si>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</si>
  <si>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</si>
  <si>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</si>
  <si>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</si>
  <si>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</si>
  <si>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</si>
  <si>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</si>
  <si>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</si>
  <si>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</si>
  <si>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</si>
  <si>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</si>
  <si>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</si>
  <si>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</si>
  <si>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</si>
  <si>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</si>
  <si>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</si>
  <si>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</si>
  <si>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</si>
  <si>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</si>
  <si>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</si>
  <si>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</si>
  <si>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</si>
  <si>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</si>
  <si>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</si>
  <si>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</si>
  <si>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</si>
  <si>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</si>
  <si>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</si>
  <si>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</si>
  <si>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</si>
  <si>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</si>
  <si>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</si>
  <si>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</si>
  <si>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</si>
  <si>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</si>
  <si>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</si>
  <si>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</si>
  <si>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</si>
  <si>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</si>
  <si>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</si>
  <si>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</si>
  <si>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</si>
  <si>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</si>
  <si>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</si>
  <si>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</si>
  <si>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</si>
  <si>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</si>
  <si>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</si>
  <si>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</si>
  <si>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</si>
  <si>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</si>
  <si>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</si>
  <si>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</si>
  <si>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</si>
  <si>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</si>
  <si>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</si>
  <si>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</si>
  <si>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</si>
  <si>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</si>
  <si>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</si>
  <si>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</si>
  <si>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</si>
  <si>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</si>
  <si>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</si>
  <si>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</si>
  <si>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</si>
  <si>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</si>
  <si>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</si>
  <si>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</si>
  <si>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</si>
  <si>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</si>
  <si>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</si>
  <si>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</si>
  <si>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</si>
  <si>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</si>
  <si>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</si>
  <si>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</si>
  <si>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</si>
  <si>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</si>
  <si>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</si>
  <si>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</si>
  <si>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</si>
  <si>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</si>
  <si>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</si>
  <si>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</si>
  <si>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</si>
  <si>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</si>
  <si>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</si>
  <si>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</si>
  <si>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</si>
  <si>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</si>
  <si>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</si>
  <si>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</si>
  <si>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</si>
  <si>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</si>
  <si>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</si>
  <si>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</si>
  <si>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</si>
  <si>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</si>
  <si>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</si>
  <si>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</si>
  <si>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</si>
  <si>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</si>
  <si>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</si>
  <si>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</si>
  <si>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</si>
  <si>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</si>
  <si>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</si>
  <si>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</si>
  <si>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</si>
  <si>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</si>
  <si>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</si>
  <si>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</si>
  <si>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</si>
  <si>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</si>
  <si>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</si>
  <si>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</si>
  <si>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</si>
  <si>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</si>
  <si>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</si>
  <si>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</si>
  <si>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</si>
  <si>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</si>
  <si>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</si>
  <si>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</si>
  <si>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</si>
  <si>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</si>
  <si>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</si>
  <si>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</si>
  <si>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</si>
  <si>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</si>
  <si>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</si>
  <si>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</si>
  <si>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</si>
  <si>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</si>
  <si>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</si>
  <si>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</si>
  <si>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</si>
  <si>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</si>
  <si>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</si>
  <si>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</si>
  <si>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</si>
  <si>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</si>
  <si>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</si>
  <si>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</si>
  <si>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</si>
  <si>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</si>
  <si>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</si>
  <si>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</si>
  <si>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</si>
  <si>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</si>
  <si>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</si>
  <si>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</si>
  <si>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</si>
  <si>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</si>
  <si>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</si>
  <si>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</si>
  <si>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</si>
  <si>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</si>
  <si>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</si>
  <si>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</si>
  <si>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</si>
  <si>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</si>
  <si>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</si>
  <si>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</si>
  <si>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</si>
  <si>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</si>
  <si>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</si>
  <si>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</si>
  <si>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</si>
  <si>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</si>
  <si>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</si>
  <si>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</si>
  <si>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</si>
  <si>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</si>
  <si>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</si>
  <si>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</si>
  <si>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</si>
  <si>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</si>
  <si>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</si>
  <si>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</si>
  <si>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</si>
  <si>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</si>
  <si>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</si>
  <si>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</si>
  <si>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</si>
  <si>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</si>
  <si>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</si>
  <si>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</si>
  <si>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</si>
  <si>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</si>
  <si>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</si>
  <si>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</si>
  <si>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</si>
  <si>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</si>
  <si>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</si>
  <si>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</si>
  <si>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</si>
  <si>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</si>
  <si>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</si>
  <si>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</si>
  <si>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</si>
  <si>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</si>
  <si>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</si>
  <si>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</si>
  <si>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</si>
  <si>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</si>
  <si>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</si>
  <si>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</si>
  <si>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</si>
  <si>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</si>
  <si>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</si>
  <si>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</si>
  <si>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</si>
  <si>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</si>
  <si>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</si>
  <si>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</si>
  <si>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</si>
  <si>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</si>
  <si>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</si>
  <si>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</si>
  <si>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</si>
  <si>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</si>
  <si>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</si>
  <si>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</si>
  <si>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</si>
  <si>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</si>
  <si>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</si>
  <si>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</si>
  <si>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</si>
  <si>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</si>
  <si>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</si>
  <si>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</si>
  <si>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</si>
  <si>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</si>
  <si>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</si>
  <si>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</si>
  <si>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</si>
  <si>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</si>
  <si>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</si>
  <si>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</si>
  <si>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</si>
  <si>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</si>
  <si>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</si>
  <si>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</si>
  <si>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</si>
  <si>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</si>
  <si>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</si>
  <si>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</si>
  <si>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</si>
  <si>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</si>
  <si>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</si>
  <si>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</si>
  <si>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</si>
  <si>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</si>
  <si>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</si>
  <si>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</si>
  <si>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</si>
  <si>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</si>
  <si>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</si>
  <si>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</si>
  <si>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</si>
  <si>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</si>
  <si>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</si>
  <si>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</si>
  <si>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</si>
  <si>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</si>
  <si>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</si>
  <si>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</si>
  <si>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</si>
  <si>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</si>
  <si>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</si>
  <si>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</si>
  <si>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</si>
  <si>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</si>
  <si>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</si>
  <si>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</si>
  <si>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</si>
  <si>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</si>
  <si>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</si>
  <si>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</si>
  <si>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</si>
  <si>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</si>
  <si>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</si>
  <si>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</si>
  <si>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</si>
  <si>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</si>
  <si>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</si>
  <si>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</si>
  <si>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</si>
  <si>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</si>
  <si>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</si>
  <si>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</si>
  <si>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</si>
  <si>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</si>
  <si>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</si>
  <si>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</si>
  <si>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</si>
  <si>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</si>
  <si>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</si>
  <si>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</si>
  <si>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</si>
  <si>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</si>
  <si>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</si>
  <si>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</si>
  <si>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</si>
  <si>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</si>
  <si>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</si>
  <si>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</si>
  <si>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</si>
  <si>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</si>
  <si>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</si>
  <si>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</si>
  <si>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</si>
  <si>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</si>
  <si>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</si>
  <si>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</si>
  <si>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</si>
  <si>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</si>
  <si>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</si>
  <si>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</si>
  <si>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</si>
  <si>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</si>
  <si>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</si>
  <si>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</si>
  <si>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</si>
  <si>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</si>
  <si>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</si>
  <si>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</si>
  <si>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</si>
  <si>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</si>
  <si>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</si>
  <si>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</si>
  <si>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</si>
  <si>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</si>
  <si>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</si>
  <si>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</si>
  <si>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</si>
  <si>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</si>
  <si>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</si>
  <si>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</si>
  <si>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</si>
  <si>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</si>
  <si>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</si>
  <si>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</si>
  <si>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</si>
  <si>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</si>
  <si>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</si>
  <si>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</si>
  <si>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</si>
  <si>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</si>
  <si>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</si>
  <si>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</si>
  <si>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</si>
  <si>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</si>
  <si>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</si>
  <si>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</si>
  <si>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</si>
  <si>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</si>
  <si>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</si>
  <si>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</si>
  <si>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</si>
  <si>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</si>
  <si>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</si>
  <si>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</si>
  <si>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</si>
  <si>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</si>
  <si>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</si>
  <si>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</si>
  <si>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</si>
  <si>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</si>
  <si>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</si>
  <si>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</si>
  <si>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</si>
  <si>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</si>
  <si>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</si>
  <si>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</si>
  <si>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</si>
  <si>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</si>
  <si>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</si>
  <si>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</si>
  <si>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</si>
  <si>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</si>
  <si>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</si>
  <si>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</si>
  <si>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</si>
  <si>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</si>
  <si>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</si>
  <si>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</si>
  <si>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</si>
  <si>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</si>
  <si>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</si>
  <si>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</si>
  <si>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</si>
  <si>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</si>
  <si>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</si>
  <si>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</si>
  <si>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</si>
  <si>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</si>
  <si>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</si>
  <si>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</si>
  <si>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</si>
  <si>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</si>
  <si>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</si>
  <si>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</si>
  <si>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</si>
  <si>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</si>
  <si>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</si>
  <si>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</si>
  <si>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</si>
  <si>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</si>
  <si>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</si>
  <si>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</si>
  <si>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</si>
  <si>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</si>
  <si>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</si>
  <si>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</si>
  <si>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</si>
  <si>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</si>
  <si>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</si>
  <si>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</si>
  <si>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</si>
  <si>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</si>
  <si>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</si>
  <si>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</si>
  <si>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</si>
  <si>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</si>
  <si>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</si>
  <si>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</si>
  <si>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</si>
  <si>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</si>
  <si>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</si>
  <si>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</si>
  <si>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</si>
  <si>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</si>
  <si>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</si>
  <si>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</si>
  <si>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</si>
  <si>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</si>
  <si>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</si>
  <si>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</si>
  <si>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</si>
  <si>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</si>
  <si>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</si>
  <si>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</si>
  <si>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</si>
  <si>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</si>
  <si>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</si>
  <si>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</si>
  <si>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</si>
  <si>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</si>
  <si>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</si>
  <si>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</si>
  <si>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</si>
  <si>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</si>
  <si>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</si>
  <si>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</si>
  <si>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</si>
  <si>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</si>
  <si>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</si>
  <si>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</si>
  <si>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</si>
  <si>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</si>
  <si>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</si>
  <si>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</si>
  <si>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</si>
  <si>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</si>
  <si>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</si>
  <si>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</si>
  <si>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</si>
  <si>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</si>
  <si>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</si>
  <si>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</si>
  <si>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</si>
  <si>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</si>
  <si>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</si>
  <si>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</si>
  <si>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</si>
  <si>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</si>
  <si>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</si>
  <si>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</si>
  <si>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</si>
  <si>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</si>
  <si>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</si>
  <si>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</si>
  <si>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</si>
  <si>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</si>
  <si>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</si>
  <si>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</si>
  <si>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</si>
  <si>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</si>
  <si>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</si>
  <si>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</si>
  <si>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</si>
  <si>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</si>
  <si>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</si>
  <si>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</si>
  <si>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</si>
  <si>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</si>
  <si>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</si>
  <si>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</si>
  <si>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</si>
  <si>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</si>
  <si>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</si>
  <si>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</si>
  <si>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</si>
  <si>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</si>
  <si>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</si>
  <si>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</si>
  <si>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</si>
  <si>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</si>
  <si>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</si>
  <si>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</si>
  <si>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</si>
  <si>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</si>
  <si>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</si>
  <si>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</si>
  <si>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</si>
  <si>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</si>
  <si>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</si>
  <si>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</si>
  <si>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</si>
  <si>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</si>
  <si>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</si>
  <si>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</si>
  <si>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</si>
  <si>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</si>
  <si>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</si>
  <si>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</si>
  <si>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</si>
  <si>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</si>
  <si>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</si>
  <si>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</si>
  <si>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</si>
  <si>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</si>
  <si>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</si>
  <si>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</si>
  <si>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</si>
  <si>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</si>
  <si>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</si>
  <si>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</si>
  <si>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</si>
  <si>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</si>
  <si>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</si>
  <si>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</si>
  <si>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</si>
  <si>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</si>
  <si>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</si>
  <si>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</si>
  <si>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</si>
  <si>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</si>
  <si>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</si>
  <si>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</si>
  <si>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</si>
  <si>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</si>
  <si>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</si>
  <si>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</si>
  <si>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</si>
  <si>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</si>
  <si>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</si>
  <si>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</si>
  <si>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</si>
  <si>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</si>
  <si>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</si>
  <si>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</si>
  <si>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</si>
  <si>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</si>
  <si>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</si>
  <si>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</si>
  <si>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</si>
  <si>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</si>
  <si>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</si>
  <si>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</si>
  <si>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</si>
  <si>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</si>
  <si>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</si>
  <si>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</si>
  <si>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</si>
  <si>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</si>
  <si>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</si>
  <si>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</si>
  <si>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</si>
  <si>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</si>
  <si>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</si>
  <si>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</si>
  <si>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</si>
  <si>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</si>
  <si>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</si>
  <si>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</si>
  <si>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</si>
  <si>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</si>
  <si>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</si>
  <si>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</si>
  <si>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</si>
  <si>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</si>
  <si>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</si>
  <si>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</si>
  <si>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</si>
  <si>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</si>
  <si>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</si>
  <si>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</si>
  <si>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</si>
  <si>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</si>
  <si>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</si>
  <si>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</si>
  <si>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</si>
  <si>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</si>
  <si>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</si>
  <si>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</si>
  <si>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</si>
  <si>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</si>
  <si>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</si>
  <si>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</si>
  <si>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</si>
  <si>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</si>
  <si>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</si>
  <si>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</si>
  <si>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</si>
  <si>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</si>
  <si>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</si>
  <si>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</si>
  <si>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</si>
  <si>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</si>
  <si>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</si>
  <si>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</si>
  <si>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</si>
  <si>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</si>
  <si>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</si>
  <si>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</si>
  <si>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</si>
  <si>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</si>
  <si>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</si>
  <si>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</si>
  <si>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</si>
  <si>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</si>
  <si>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</si>
  <si>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</si>
  <si>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</si>
  <si>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</si>
  <si>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</si>
  <si>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</si>
  <si>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</si>
  <si>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</si>
  <si>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</si>
  <si>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</si>
  <si>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</si>
  <si>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</si>
  <si>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</si>
  <si>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</si>
  <si>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</si>
  <si>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</si>
  <si>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</si>
  <si>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</si>
  <si>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</si>
  <si>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</si>
  <si>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</si>
  <si>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</si>
  <si>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</si>
  <si>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</si>
  <si>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</si>
  <si>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</si>
  <si>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</si>
  <si>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</si>
  <si>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</si>
  <si>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</si>
  <si>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</si>
  <si>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</si>
  <si>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</si>
  <si>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</si>
  <si>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</si>
  <si>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</si>
  <si>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</si>
  <si>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</si>
  <si>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</si>
  <si>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</si>
  <si>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</si>
  <si>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</si>
  <si>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</si>
  <si>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</si>
  <si>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</si>
  <si>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</si>
  <si>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</si>
  <si>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</si>
  <si>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</si>
  <si>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</si>
  <si>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</si>
  <si>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</si>
  <si>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</si>
  <si>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</si>
  <si>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</si>
  <si>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</si>
  <si>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</si>
  <si>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</si>
  <si>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</si>
  <si>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</si>
  <si>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</si>
  <si>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</si>
  <si>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</si>
  <si>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</si>
  <si>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</si>
  <si>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</si>
  <si>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</si>
  <si>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</si>
  <si>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</si>
  <si>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</si>
  <si>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</si>
  <si>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</si>
  <si>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</si>
  <si>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</si>
  <si>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</si>
  <si>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</si>
  <si>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</si>
  <si>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</si>
  <si>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</si>
  <si>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</si>
  <si>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</si>
  <si>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</si>
  <si>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</si>
  <si>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</si>
  <si>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</si>
  <si>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</si>
  <si>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</si>
  <si>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</si>
  <si>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</si>
  <si>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</si>
  <si>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</si>
  <si>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</si>
  <si>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</si>
  <si>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</si>
  <si>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</si>
  <si>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</si>
  <si>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</si>
  <si>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</si>
  <si>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</si>
  <si>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</si>
  <si>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</si>
  <si>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</si>
  <si>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</si>
  <si>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</si>
  <si>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</si>
  <si>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</si>
  <si>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</si>
  <si>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</si>
  <si>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</si>
  <si>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</si>
  <si>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</si>
  <si>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</si>
  <si>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</si>
  <si>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</si>
  <si>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</si>
  <si>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</si>
  <si>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</si>
  <si>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</si>
  <si>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</si>
  <si>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</si>
  <si>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</si>
  <si>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</si>
  <si>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</si>
  <si>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</si>
  <si>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</si>
  <si>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</si>
  <si>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</si>
  <si>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</si>
  <si>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</si>
  <si>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</si>
  <si>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</si>
  <si>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</si>
  <si>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</si>
  <si>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</si>
  <si>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</si>
  <si>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</si>
  <si>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</si>
  <si>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</si>
  <si>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</si>
  <si>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</si>
  <si>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</si>
  <si>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</si>
  <si>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</si>
  <si>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</si>
  <si>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</si>
  <si>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</si>
  <si>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</si>
  <si>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</si>
  <si>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</si>
  <si>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</si>
  <si>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</si>
  <si>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</si>
  <si>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</si>
  <si>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</si>
  <si>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</si>
  <si>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</si>
  <si>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</si>
  <si>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</si>
  <si>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</si>
  <si>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</si>
  <si>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</si>
  <si>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</si>
  <si>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</si>
  <si>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</si>
  <si>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</si>
  <si>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</si>
  <si>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</si>
  <si>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</si>
  <si>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</si>
  <si>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</si>
  <si>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</si>
  <si>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</si>
  <si>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</si>
  <si>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</si>
  <si>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</si>
  <si>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</si>
  <si>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</si>
  <si>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</si>
  <si>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</si>
  <si>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</si>
  <si>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</si>
  <si>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</si>
  <si>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</si>
  <si>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</si>
  <si>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</si>
  <si>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</si>
  <si>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</si>
  <si>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</si>
  <si>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</si>
  <si>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</si>
  <si>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</si>
  <si>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</si>
  <si>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</si>
  <si>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</si>
  <si>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</si>
  <si>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</si>
  <si>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</si>
  <si>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</si>
  <si>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</si>
  <si>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</si>
  <si>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</si>
  <si>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</si>
  <si>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</si>
  <si>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</si>
  <si>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</si>
  <si>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</si>
  <si>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</si>
  <si>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</si>
  <si>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</si>
  <si>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</si>
  <si>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</si>
  <si>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</si>
  <si>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</si>
  <si>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</si>
  <si>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</si>
  <si>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</si>
  <si>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</si>
  <si>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</si>
  <si>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</si>
  <si>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</si>
  <si>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</si>
  <si>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</si>
  <si>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</si>
  <si>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</si>
  <si>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</si>
  <si>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</si>
  <si>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</si>
  <si>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</si>
  <si>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</si>
  <si>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</si>
  <si>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</si>
  <si>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</si>
  <si>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</si>
  <si>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</si>
  <si>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</si>
  <si>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</si>
  <si>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</si>
  <si>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</si>
  <si>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</si>
  <si>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</si>
  <si>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</si>
  <si>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</si>
  <si>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</si>
  <si>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</si>
  <si>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</si>
  <si>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</si>
  <si>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</si>
  <si>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</si>
  <si>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</si>
  <si>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</si>
  <si>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</si>
  <si>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</si>
  <si>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</si>
  <si>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</si>
  <si>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</si>
  <si>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</si>
  <si>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</si>
  <si>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</si>
  <si>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</si>
  <si>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</si>
  <si>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</si>
  <si>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</si>
  <si>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</si>
  <si>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</si>
  <si>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</si>
  <si>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</si>
  <si>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</si>
  <si>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</si>
  <si>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</si>
  <si>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</si>
  <si>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</si>
  <si>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</si>
  <si>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</si>
  <si>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</si>
  <si>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</si>
  <si>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</si>
  <si>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</si>
  <si>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</si>
  <si>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</si>
  <si>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</si>
  <si>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</si>
  <si>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</si>
  <si>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</si>
  <si>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</si>
  <si>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</si>
  <si>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</si>
  <si>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</si>
  <si>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</si>
  <si>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</si>
  <si>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</si>
  <si>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</si>
  <si>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</si>
  <si>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</si>
  <si>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</si>
  <si>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</si>
  <si>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</si>
  <si>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</si>
  <si>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</si>
  <si>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</si>
  <si>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</si>
  <si>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</si>
  <si>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</si>
  <si>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</si>
  <si>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</si>
  <si>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</si>
  <si>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</si>
  <si>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</si>
  <si>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</si>
  <si>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</si>
  <si>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</si>
  <si>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</si>
  <si>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</si>
  <si>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</si>
  <si>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</si>
  <si>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</si>
  <si>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</si>
  <si>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</si>
  <si>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</si>
  <si>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</si>
  <si>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</si>
  <si>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</si>
  <si>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</si>
  <si>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</si>
  <si>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</si>
  <si>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</si>
  <si>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</si>
  <si>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</si>
  <si>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</si>
  <si>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</si>
  <si>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</si>
  <si>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</si>
  <si>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</si>
  <si>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</si>
  <si>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</si>
  <si>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</si>
  <si>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</si>
  <si>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</si>
  <si>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</si>
  <si>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</si>
  <si>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</si>
  <si>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</si>
  <si>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</si>
  <si>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</si>
  <si>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</si>
  <si>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</si>
  <si>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</si>
  <si>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</si>
  <si>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</si>
  <si>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</si>
  <si>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</si>
  <si>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</si>
  <si>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</si>
  <si>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</si>
  <si>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</si>
  <si>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</si>
  <si>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</si>
  <si>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</si>
  <si>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</si>
  <si>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</si>
  <si>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</si>
  <si>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</si>
  <si>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</si>
  <si>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</si>
  <si>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</si>
  <si>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</si>
  <si>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</si>
  <si>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</si>
  <si>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</si>
  <si>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</si>
  <si>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</si>
  <si>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</si>
  <si>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</si>
  <si>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</si>
  <si>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</si>
  <si>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</si>
  <si>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</si>
  <si>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</si>
  <si>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</si>
  <si>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</si>
  <si>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</si>
  <si>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</si>
  <si>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</si>
  <si>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</si>
  <si>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</si>
  <si>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</si>
  <si>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</si>
  <si>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</si>
  <si>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</si>
  <si>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</si>
  <si>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</si>
  <si>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</si>
  <si>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</si>
  <si>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</si>
  <si>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</si>
  <si>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</si>
  <si>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</si>
  <si>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</si>
  <si>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</si>
  <si>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</si>
  <si>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</si>
  <si>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</si>
  <si>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</si>
  <si>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</si>
  <si>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</si>
  <si>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</si>
  <si>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</si>
  <si>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</si>
  <si>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</si>
  <si>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</si>
  <si>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</si>
  <si>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</si>
  <si>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</si>
  <si>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</si>
  <si>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</si>
  <si>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</si>
  <si>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</si>
  <si>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</si>
  <si>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</si>
  <si>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</si>
  <si>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</si>
  <si>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</si>
  <si>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</si>
  <si>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</si>
  <si>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</si>
  <si>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</si>
  <si>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</si>
  <si>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</si>
  <si>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</si>
  <si>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</si>
  <si>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</si>
  <si>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</si>
  <si>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</si>
  <si>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</si>
  <si>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</si>
  <si>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</si>
  <si>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</si>
  <si>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</si>
  <si>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</si>
  <si>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</si>
  <si>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</si>
  <si>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</si>
  <si>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</si>
  <si>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</si>
  <si>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</si>
  <si>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</si>
  <si>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</si>
  <si>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</si>
  <si>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</si>
  <si>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</si>
  <si>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</si>
  <si>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</si>
  <si>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</si>
  <si>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</si>
  <si>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</si>
  <si>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</si>
  <si>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</si>
  <si>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</si>
  <si>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</si>
  <si>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</si>
  <si>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</si>
  <si>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</si>
  <si>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</si>
  <si>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</si>
  <si>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</si>
  <si>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</si>
  <si>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</si>
  <si>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</si>
  <si>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</si>
  <si>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</si>
  <si>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</si>
  <si>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</si>
  <si>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</si>
  <si>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</si>
  <si>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</si>
  <si>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</si>
  <si>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</si>
  <si>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</si>
  <si>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</si>
  <si>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</si>
  <si>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</si>
  <si>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</si>
  <si>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</si>
  <si>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</si>
  <si>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</si>
  <si>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</si>
  <si>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</si>
  <si>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</si>
  <si>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</si>
  <si>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</si>
  <si>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</si>
  <si>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</si>
  <si>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</si>
  <si>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</si>
  <si>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</si>
  <si>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</si>
  <si>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</si>
  <si>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</si>
  <si>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</si>
  <si>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</si>
  <si>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</si>
  <si>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</si>
  <si>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</si>
  <si>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</si>
  <si>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</si>
  <si>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</si>
  <si>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</si>
  <si>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</si>
  <si>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</si>
  <si>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</si>
  <si>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</si>
  <si>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</si>
  <si>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</si>
  <si>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</si>
  <si>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</si>
  <si>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</si>
  <si>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</si>
  <si>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</si>
  <si>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</si>
  <si>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</si>
  <si>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</si>
  <si>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</si>
  <si>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</si>
  <si>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</si>
  <si>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</si>
  <si>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</si>
  <si>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</si>
  <si>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</si>
  <si>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</si>
  <si>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</si>
  <si>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</si>
  <si>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</si>
  <si>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</si>
  <si>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</si>
  <si>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</si>
  <si>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</si>
  <si>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</si>
  <si>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</si>
  <si>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</si>
  <si>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</si>
  <si>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</si>
  <si>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</si>
  <si>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</si>
  <si>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</si>
  <si>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</si>
  <si>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</si>
  <si>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</si>
  <si>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</si>
  <si>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</si>
  <si>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</si>
  <si>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</si>
  <si>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</si>
  <si>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</si>
  <si>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</si>
  <si>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</si>
  <si>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</si>
  <si>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</si>
  <si>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</si>
  <si>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</si>
  <si>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</si>
  <si>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</si>
  <si>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</si>
  <si>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</si>
  <si>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</si>
  <si>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</si>
  <si>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</si>
  <si>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</si>
  <si>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</si>
  <si>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</si>
  <si>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</si>
  <si>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</si>
  <si>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</si>
  <si>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</si>
  <si>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</si>
  <si>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</si>
  <si>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</si>
  <si>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</si>
  <si>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</si>
  <si>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</si>
  <si>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</si>
  <si>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</si>
  <si>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</si>
  <si>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</si>
  <si>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</si>
  <si>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</si>
  <si>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</si>
  <si>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</si>
  <si>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</si>
  <si>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</si>
  <si>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</si>
  <si>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</si>
  <si>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</si>
  <si>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</si>
  <si>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</si>
  <si>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</si>
  <si>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</si>
  <si>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</si>
  <si>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</si>
  <si>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</si>
  <si>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</si>
  <si>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</si>
  <si>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</si>
  <si>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</si>
  <si>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</si>
  <si>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</si>
  <si>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</si>
  <si>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</si>
  <si>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</si>
  <si>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</si>
  <si>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</si>
  <si>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</si>
  <si>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</si>
  <si>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</si>
  <si>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</si>
  <si>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</si>
  <si>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</si>
  <si>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</si>
  <si>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</si>
  <si>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</si>
  <si>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</si>
  <si>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</si>
  <si>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</si>
  <si>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</si>
  <si>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</si>
  <si>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</si>
  <si>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</si>
  <si>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</si>
  <si>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</si>
  <si>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</si>
  <si>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</si>
  <si>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</si>
  <si>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</si>
  <si>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</si>
  <si>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</si>
  <si>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</si>
  <si>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</si>
  <si>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</si>
  <si>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</si>
  <si>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</si>
  <si>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</si>
  <si>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</si>
  <si>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</si>
  <si>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</si>
  <si>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</si>
  <si>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</si>
  <si>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</si>
  <si>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</si>
  <si>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</si>
  <si>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</si>
  <si>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</si>
  <si>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</si>
  <si>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</si>
  <si>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</si>
  <si>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</si>
  <si>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</si>
  <si>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</si>
  <si>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</si>
  <si>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</si>
  <si>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</si>
  <si>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</si>
  <si>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</si>
  <si>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</si>
  <si>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</si>
  <si>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</si>
  <si>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</si>
  <si>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</si>
  <si>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</si>
  <si>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</si>
  <si>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</si>
  <si>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</si>
  <si>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</si>
  <si>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</si>
  <si>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</si>
  <si>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</si>
  <si>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</si>
  <si>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</si>
  <si>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</si>
  <si>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</si>
  <si>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</si>
  <si>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</si>
  <si>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</si>
  <si>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</si>
  <si>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</si>
  <si>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</si>
  <si>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</si>
  <si>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</si>
  <si>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</si>
  <si>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</si>
  <si>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</si>
  <si>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</si>
  <si>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</si>
  <si>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</si>
  <si>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</si>
  <si>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</si>
  <si>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</si>
  <si>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</si>
  <si>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</si>
  <si>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</si>
  <si>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</si>
  <si>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</si>
  <si>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</si>
  <si>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</si>
  <si>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</si>
  <si>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</si>
  <si>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</si>
  <si>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</si>
  <si>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</si>
  <si>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</si>
  <si>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</si>
  <si>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</si>
  <si>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</si>
  <si>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</si>
  <si>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</si>
  <si>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</si>
  <si>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</si>
  <si>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</si>
  <si>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</si>
  <si>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</si>
  <si>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</si>
  <si>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</si>
  <si>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</si>
  <si>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</si>
  <si>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</si>
  <si>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</si>
  <si>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</si>
  <si>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</si>
  <si>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</si>
  <si>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</si>
  <si>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</si>
  <si>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</si>
  <si>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</si>
  <si>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</si>
  <si>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</si>
  <si>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</si>
  <si>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</si>
  <si>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</si>
  <si>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</si>
  <si>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</si>
  <si>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</si>
  <si>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</si>
  <si>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</si>
  <si>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</si>
  <si>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</si>
  <si>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</si>
  <si>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</si>
  <si>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</si>
  <si>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</si>
  <si>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</si>
  <si>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</si>
  <si>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</si>
  <si>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</si>
  <si>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</si>
  <si>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</si>
  <si>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</si>
  <si>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</si>
  <si>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</si>
  <si>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</si>
  <si>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</si>
  <si>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</si>
  <si>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</si>
  <si>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</si>
  <si>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</si>
  <si>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</si>
  <si>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</si>
  <si>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</si>
  <si>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</si>
  <si>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</si>
  <si>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</si>
  <si>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</si>
  <si>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</si>
  <si>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</si>
  <si>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</si>
  <si>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</si>
  <si>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</si>
  <si>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</si>
  <si>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</si>
  <si>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</si>
  <si>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</si>
  <si>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</si>
  <si>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</si>
  <si>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</si>
  <si>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</si>
  <si>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</si>
  <si>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</si>
  <si>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</si>
  <si>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</si>
  <si>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</si>
  <si>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</si>
  <si>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</si>
  <si>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</si>
  <si>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</si>
  <si>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</si>
  <si>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</si>
  <si>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</si>
  <si>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</si>
  <si>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</si>
  <si>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</si>
  <si>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</si>
  <si>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</si>
  <si>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</si>
  <si>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</si>
  <si>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</si>
  <si>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</si>
  <si>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</si>
  <si>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</si>
  <si>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</si>
  <si>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</si>
  <si>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</si>
  <si>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</si>
  <si>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</si>
  <si>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</si>
  <si>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3"/>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</si>
  <si>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</si>
  <si>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</si>
  <si>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</si>
  <si>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</si>
  <si>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</si>
  <si>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</si>
  <si>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</si>
  <si>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</si>
  <si>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</si>
  <si>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</si>
  <si>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</si>
  <si>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</si>
  <si>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</si>
  <si>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</si>
  <si>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</si>
  <si>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</si>
  <si>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</si>
  <si>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</si>
  <si>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</si>
  <si>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</si>
  <si>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</si>
  <si>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</si>
  <si>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</si>
  <si>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</si>
  <si>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</si>
  <si>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</si>
  <si>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</si>
  <si>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3"/>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</si>
  <si>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</si>
  <si>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</si>
  <si>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</si>
  <si>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</si>
  <si>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</si>
  <si>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</si>
  <si>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</si>
  <si>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</si>
  <si>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</si>
  <si>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</si>
  <si>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</si>
  <si>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</si>
  <si>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</si>
  <si>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</si>
  <si>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</si>
  <si>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</si>
  <si>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</si>
  <si>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</si>
  <si>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</si>
  <si>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</si>
  <si>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</si>
  <si>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</si>
  <si>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</si>
  <si>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</si>
  <si>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</si>
  <si>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</si>
  <si>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</si>
  <si>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</si>
  <si>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</si>
  <si>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</si>
  <si>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</si>
  <si>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</si>
  <si>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</si>
  <si>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</si>
  <si>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</si>
  <si>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</si>
  <si>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</si>
  <si>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</si>
  <si>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</si>
  <si>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</si>
  <si>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</si>
  <si>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</si>
  <si>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</si>
  <si>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</si>
  <si>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</si>
  <si>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</si>
  <si>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</si>
  <si>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</si>
  <si>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</si>
  <si>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</si>
  <si>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</si>
  <si>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</si>
  <si>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</si>
  <si>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</si>
  <si>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</si>
  <si>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</si>
  <si>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</si>
  <si>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</si>
  <si>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</si>
  <si>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</si>
  <si>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</si>
  <si>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</si>
  <si>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</si>
  <si>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100%</t>
  </si>
  <si>
    <t xml:space="preserve">All smelter information is reported on this EMRT because all our suppliers informed us 100% Cobalt smelter information like Declaration No. 5. </t>
    <phoneticPr fontId="84" type="noConversion"/>
  </si>
  <si>
    <t>We reported all the information that we can receive informed from our 1st supplier. But the cover rate is less than 50% because half of our 1st supplier cannot inform us of Copper smelter information.</t>
    <phoneticPr fontId="84" type="noConversion"/>
  </si>
  <si>
    <t>We reported all the information that we can receive informed from our 1st supplier. But the cover rate is less than 50% because half of our 1st supplier cannot inform us of Nickel smelter information.</t>
    <phoneticPr fontId="84" type="noConversion"/>
  </si>
  <si>
    <t>A half of our 1st supplier cannot inform us of Copper smelter information.</t>
    <phoneticPr fontId="84" type="noConversion"/>
  </si>
  <si>
    <t>A half of our 1st supplier cannot inform us of Nickel smelter information.</t>
    <phoneticPr fontId="84" type="noConversion"/>
  </si>
  <si>
    <t>https://www.ramxeed.com/quality-and-environment-initiatives/environment-compliance/</t>
    <phoneticPr fontId="84" type="noConversion"/>
  </si>
  <si>
    <t>RAMXEED LIMITED</t>
    <phoneticPr fontId="84" type="noConversion"/>
  </si>
  <si>
    <t>718612092</t>
    <phoneticPr fontId="84" type="noConversion"/>
  </si>
  <si>
    <t>D-U-N-S</t>
    <phoneticPr fontId="84" type="noConversion"/>
  </si>
  <si>
    <t>Shin-Yokohama Chuo Building, 2-100-45, Shin-Yokohama, Kohoku-ku Yokohama, Kanagawa, Japan</t>
    <phoneticPr fontId="84" type="noConversion"/>
  </si>
  <si>
    <t>Hideki Yamada</t>
    <phoneticPr fontId="84" type="noConversion"/>
  </si>
  <si>
    <r>
      <t>N/A@com (Refer URL for our distributors contact:</t>
    </r>
    <r>
      <rPr>
        <u/>
        <sz val="10"/>
        <color theme="10"/>
        <rFont val="游ゴシック"/>
        <family val="2"/>
        <charset val="128"/>
      </rPr>
      <t>　</t>
    </r>
    <r>
      <rPr>
        <u/>
        <sz val="10"/>
        <color theme="10"/>
        <rFont val="Verdana"/>
        <family val="2"/>
      </rPr>
      <t>https://www.ramxeed.com/company/office/ )</t>
    </r>
    <phoneticPr fontId="84" type="noConversion"/>
  </si>
  <si>
    <t>https://www.ramxeed.com/contact/</t>
    <phoneticPr fontId="84" type="noConversion"/>
  </si>
  <si>
    <t>Tatsuhiro Watanabe</t>
    <phoneticPr fontId="84" type="noConversion"/>
  </si>
  <si>
    <t>Quality Assurance Department, Department Manager</t>
    <phoneticPr fontId="84" type="noConversion"/>
  </si>
  <si>
    <t>Yes, for 3TG and Cobalt smelter. 
No, as for other minerals except 3TG and Cobalt, we are under development.</t>
    <phoneticPr fontId="84" type="noConversion"/>
  </si>
  <si>
    <t xml:space="preserve">We request all our 1st suppliers that all Cobalt smelter shall be validated. </t>
    <phoneticPr fontId="84" type="noConversion"/>
  </si>
  <si>
    <t>We request all our 1st suppliers that if supplier can validate each smelter, supplier needs to inform smelter information.</t>
    <phoneticPr fontId="84" type="noConversion"/>
  </si>
  <si>
    <t>Yes, for 3TG and Cobalt. But we do not request our 1st suppliers to apply counter measures quickly for Copper and Nickel smelter this year.</t>
    <phoneticPr fontId="84" type="noConversion"/>
  </si>
  <si>
    <t>No action required as RMAP conformant smelter</t>
    <phoneticPr fontId="84" type="noConversion"/>
  </si>
  <si>
    <t>No action required as JDDS (Joint Due Diligence Standard) conformant smelter by "The Copper Mark"</t>
    <phoneticPr fontId="84" type="noConversion"/>
  </si>
  <si>
    <t>RMAP conformant smelter</t>
    <phoneticPr fontId="84" type="noConversion"/>
  </si>
  <si>
    <t xml:space="preserve">JDDS (Joint Due Diligence Standard) conformant smelter by "The Copper Mark". 
Please refer below URL; 
https://coppermark.org/wp-content/uploads/2023/07/CopperMark_SummaryReport_Nikkelverk_FINAL.pdf
We also certify the JDDS assurance process and do not require our suppliers to obtail RMAP certification. </t>
    <phoneticPr fontId="84" type="noConversion"/>
  </si>
  <si>
    <t>CID004247</t>
  </si>
  <si>
    <t>CID004248</t>
  </si>
  <si>
    <t>Onahama Smelting and Refining Co., Ltd.</t>
  </si>
  <si>
    <t xml:space="preserve">JDDS (Joint Due Diligence Standard) conformant smelter by "The Copper Mark". </t>
    <phoneticPr fontId="84" type="noConversion"/>
  </si>
  <si>
    <t>Onahama-Nagisa 1-1</t>
  </si>
  <si>
    <t>Iwaki</t>
  </si>
  <si>
    <t>Fukushima, Japan</t>
  </si>
  <si>
    <t>kagawa gun</t>
  </si>
  <si>
    <t>kagawa</t>
  </si>
  <si>
    <t>Naoshima Smelter and Refinery</t>
  </si>
  <si>
    <t>JDDS</t>
    <phoneticPr fontId="84" type="noConversion"/>
  </si>
  <si>
    <t>RMI</t>
    <phoneticPr fontId="84" type="noConversion"/>
  </si>
  <si>
    <t>Currently no action</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</si>
</sst>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31">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sz val="11"/>
      <name val="ＭＳ Ｐゴシック"/>
      <family val="3"/>
      <charset val="128"/>
    </font>
    <font>
      <sz val="11"/>
      <color rgb="FFFF0000"/>
      <name val="맑은 고딕"/>
      <family val="2"/>
      <charset val="129"/>
    </font>
    <font>
      <sz val="11"/>
      <name val="맑은 고딕"/>
      <family val="2"/>
      <charset val="129"/>
    </font>
    <font>
      <u/>
      <sz val="10"/>
      <color theme="10"/>
      <name val="游ゴシック"/>
      <family val="2"/>
      <charset val="128"/>
    </font>
    <font>
      <sz val="10"/>
      <name val="ＭＳ Ｐゴシック"/>
      <family val="2"/>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49" fontId="130" fillId="0" borderId="18" xfId="0" applyNumberFormat="1" applyFont="1" applyBorder="1" applyAlignment="1" applyProtection="1">
      <alignmen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14" fillId="45" borderId="56" xfId="831" applyNumberForma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114" fillId="45" borderId="11" xfId="828" applyNumberFormat="1" applyFill="1" applyBorder="1" applyAlignment="1" applyProtection="1">
      <alignment horizontal="left" vertical="center" wrapText="1"/>
      <protection locked="0"/>
    </xf>
    <xf numFmtId="49" fontId="114" fillId="45" borderId="33" xfId="828" applyNumberForma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left" wrapText="1"/>
      <protection locked="0"/>
    </xf>
    <xf numFmtId="183"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ハイパーリンク" xfId="831" builtinId="8"/>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mxeed.com/contact/" TargetMode="External"/><Relationship Id="rId2" Type="http://schemas.openxmlformats.org/officeDocument/2006/relationships/hyperlink" Target="https://www.ramxeed.com/contact/" TargetMode="External"/><Relationship Id="rId1" Type="http://schemas.openxmlformats.org/officeDocument/2006/relationships/hyperlink" Target="https://www.ramxeed.com/quality-and-environment-initiatives/environment-complianc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zoomScale="70" zoomScaleNormal="7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450000000000003" customHeight="1">
      <c r="A6" s="94" t="str">
        <f ca="1">OFFSET(L!$C$1,MATCH("Instructions"&amp;ADDRESS(ROW(),COLUMN(),4),L!$A:$A,0)-1,SL,,)</f>
        <v xml:space="preserve">Note:  Entries with (*) are mandatory fields. </v>
      </c>
      <c r="B6" s="179"/>
    </row>
    <row r="7" spans="1:2" ht="48.2"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450000000000003"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7"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7"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700000000000003"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700000000000003"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7"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28.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7" customHeight="1">
      <c r="A245" s="126" t="str">
        <f t="shared" si="11"/>
        <v>CheckerJ23</v>
      </c>
      <c r="B245" s="126" t="s">
        <v>1154</v>
      </c>
      <c r="C245" s="126" t="s">
        <v>1244</v>
      </c>
      <c r="E245" s="244"/>
      <c r="G245"/>
      <c r="H245" s="276"/>
      <c r="I245" s="126"/>
    </row>
    <row r="246" spans="1:9" ht="13.7" customHeight="1">
      <c r="A246" s="126" t="str">
        <f t="shared" si="11"/>
        <v>CheckerJ24</v>
      </c>
      <c r="B246" s="126" t="s">
        <v>1154</v>
      </c>
      <c r="C246" s="126" t="s">
        <v>1245</v>
      </c>
      <c r="E246" s="244"/>
      <c r="G246"/>
      <c r="H246" s="276"/>
      <c r="I246" s="126"/>
    </row>
    <row r="247" spans="1:9" ht="13.7" customHeight="1">
      <c r="A247" s="126" t="str">
        <f t="shared" si="11"/>
        <v>CheckerJ25</v>
      </c>
      <c r="B247" s="126" t="s">
        <v>1154</v>
      </c>
      <c r="C247" s="126" t="s">
        <v>18924</v>
      </c>
      <c r="E247" s="244"/>
      <c r="G247"/>
      <c r="H247" s="276"/>
      <c r="I247" s="126"/>
    </row>
    <row r="248" spans="1:9" ht="13.7"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D8355D5-F6AE-426B-B0A7-D8BEA8101E31}"/>
    </customSheetView>
    <customSheetView guid="{4BDF1A28-30D5-449D-B20E-D6C97EF9FAE1}" showAutoFilter="1">
      <selection activeCell="C174" sqref="C174"/>
      <pageMargins left="0" right="0" top="0" bottom="0" header="0" footer="0"/>
      <pageSetup paperSize="9" orientation="portrait"/>
      <autoFilter ref="B1:N1" xr:uid="{A56BC87D-B46E-4DA4-BA9F-B55E6AA4787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1CEC5F1-EF94-41C9-B672-AADA68A49C56}"/>
    </customSheetView>
    <customSheetView guid="{4BDF1A28-30D5-449D-B20E-D6C97EF9FAE1}" showAutoFilter="1">
      <selection activeCell="C1" sqref="C1:D65536"/>
      <pageMargins left="0" right="0" top="0" bottom="0" header="0" footer="0"/>
      <pageSetup orientation="portrait"/>
      <autoFilter ref="B1:C1" xr:uid="{26A11214-D8A2-4D9F-995A-9C5A8F4A10F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7" activePane="bottomRight" state="frozen"/>
      <selection pane="topRight" activeCell="B24" sqref="B24:J24"/>
      <selection pane="bottomLeft" activeCell="B24" sqref="B24:J24"/>
      <selection pane="bottomRight" activeCell="E20" sqref="E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8"/>
      <c r="B2" s="1" t="s">
        <v>1</v>
      </c>
      <c r="C2" s="2"/>
      <c r="D2" s="146"/>
      <c r="E2" s="2"/>
      <c r="F2" s="2"/>
      <c r="G2" s="24"/>
    </row>
    <row r="3" spans="1:7">
      <c r="A3" s="388"/>
      <c r="B3" s="2" t="s">
        <v>2</v>
      </c>
      <c r="C3" s="1"/>
      <c r="D3" s="147"/>
      <c r="E3" s="2"/>
      <c r="F3" s="1"/>
      <c r="G3" s="24"/>
    </row>
    <row r="4" spans="1:7" ht="15">
      <c r="A4" s="388"/>
      <c r="B4" s="183" t="s">
        <v>3</v>
      </c>
      <c r="C4" s="184"/>
      <c r="D4" s="185"/>
      <c r="E4" s="2"/>
      <c r="F4" s="184"/>
      <c r="G4" s="24"/>
    </row>
    <row r="5" spans="1:7">
      <c r="A5" s="388"/>
      <c r="B5" s="189" t="s">
        <v>4</v>
      </c>
      <c r="C5" s="186"/>
      <c r="D5" s="187"/>
      <c r="E5" s="2"/>
      <c r="F5" s="186"/>
      <c r="G5" s="24"/>
    </row>
    <row r="6" spans="1:7">
      <c r="A6" s="388"/>
      <c r="B6" s="2"/>
      <c r="C6" s="2"/>
      <c r="D6" s="146"/>
      <c r="E6" s="2"/>
      <c r="F6" s="2"/>
      <c r="G6" s="24"/>
    </row>
    <row r="7" spans="1:7">
      <c r="A7" s="388"/>
      <c r="B7" s="2"/>
      <c r="C7" s="2"/>
      <c r="D7" s="146"/>
      <c r="E7" s="2"/>
      <c r="F7" s="2"/>
      <c r="G7" s="24"/>
    </row>
    <row r="8" spans="1:7">
      <c r="A8" s="388"/>
      <c r="B8" s="2"/>
      <c r="C8" s="2"/>
      <c r="D8" s="146"/>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3" t="s">
        <v>7</v>
      </c>
      <c r="C12" s="174" t="s">
        <v>8</v>
      </c>
      <c r="D12" s="175" t="s">
        <v>9</v>
      </c>
      <c r="E12" s="174" t="s">
        <v>10</v>
      </c>
      <c r="F12" s="174" t="s">
        <v>11</v>
      </c>
      <c r="G12" s="24"/>
    </row>
    <row r="13" spans="1:7" ht="67.5">
      <c r="A13" s="388"/>
      <c r="B13" s="287">
        <v>1</v>
      </c>
      <c r="C13" s="225" t="s">
        <v>12</v>
      </c>
      <c r="D13" s="226">
        <v>44489</v>
      </c>
      <c r="E13" s="225" t="s">
        <v>12182</v>
      </c>
      <c r="F13" s="227" t="s">
        <v>12191</v>
      </c>
      <c r="G13" s="24"/>
    </row>
    <row r="14" spans="1:7" ht="56.25">
      <c r="A14" s="388"/>
      <c r="B14" s="224">
        <v>1.01</v>
      </c>
      <c r="C14" s="225" t="s">
        <v>12</v>
      </c>
      <c r="D14" s="226">
        <v>44523</v>
      </c>
      <c r="E14" s="225" t="s">
        <v>12183</v>
      </c>
      <c r="F14" s="227" t="s">
        <v>12191</v>
      </c>
      <c r="G14" s="24"/>
    </row>
    <row r="15" spans="1:7" ht="56.25">
      <c r="A15" s="388"/>
      <c r="B15" s="224">
        <v>1.02</v>
      </c>
      <c r="C15" s="225" t="s">
        <v>12</v>
      </c>
      <c r="D15" s="226">
        <v>44553</v>
      </c>
      <c r="E15" s="225" t="s">
        <v>12184</v>
      </c>
      <c r="F15" s="227" t="s">
        <v>12191</v>
      </c>
      <c r="G15" s="24"/>
    </row>
    <row r="16" spans="1:7" ht="90">
      <c r="A16" s="388"/>
      <c r="B16" s="224">
        <v>1.1000000000000001</v>
      </c>
      <c r="C16" s="225" t="s">
        <v>12</v>
      </c>
      <c r="D16" s="226">
        <v>44848</v>
      </c>
      <c r="E16" s="225" t="s">
        <v>12185</v>
      </c>
      <c r="F16" s="227" t="s">
        <v>12192</v>
      </c>
      <c r="G16" s="24"/>
    </row>
    <row r="17" spans="1:7" ht="56.25">
      <c r="A17" s="388"/>
      <c r="B17" s="224">
        <v>1.1100000000000001</v>
      </c>
      <c r="C17" s="225" t="s">
        <v>12</v>
      </c>
      <c r="D17" s="226">
        <v>44869</v>
      </c>
      <c r="E17" s="225" t="s">
        <v>12186</v>
      </c>
      <c r="F17" s="227" t="s">
        <v>12192</v>
      </c>
      <c r="G17" s="24"/>
    </row>
    <row r="18" spans="1:7" ht="56.25">
      <c r="A18" s="388"/>
      <c r="B18" s="224">
        <v>1.2</v>
      </c>
      <c r="C18" s="225" t="s">
        <v>12</v>
      </c>
      <c r="D18" s="226">
        <v>45058</v>
      </c>
      <c r="E18" s="225" t="s">
        <v>12235</v>
      </c>
      <c r="F18" s="227" t="s">
        <v>12193</v>
      </c>
      <c r="G18" s="24"/>
    </row>
    <row r="19" spans="1:7" ht="56.25">
      <c r="A19" s="388"/>
      <c r="B19" s="224">
        <v>1.3</v>
      </c>
      <c r="C19" s="225" t="s">
        <v>12</v>
      </c>
      <c r="D19" s="226">
        <v>45408</v>
      </c>
      <c r="E19" s="288" t="s">
        <v>18595</v>
      </c>
      <c r="F19" s="227" t="s">
        <v>12236</v>
      </c>
      <c r="G19" s="24"/>
    </row>
    <row r="20" spans="1:7" ht="56.25">
      <c r="A20" s="388"/>
      <c r="B20" s="293" t="s">
        <v>18598</v>
      </c>
      <c r="C20" s="225" t="s">
        <v>12</v>
      </c>
      <c r="D20" s="226">
        <v>45772</v>
      </c>
      <c r="E20" s="288" t="s">
        <v>19154</v>
      </c>
      <c r="F20" s="227" t="s">
        <v>19278</v>
      </c>
      <c r="G20" s="24"/>
    </row>
    <row r="21" spans="1:7" ht="13.5" thickBot="1">
      <c r="A21" s="389"/>
      <c r="B21" s="393" t="str">
        <f ca="1">OFFSET(L!$C$1,MATCH("General"&amp;"Cpy",L!$A:$A,0)-1,SL,,)</f>
        <v>© 2025 Responsible Minerals Initiative. All rights reserved.</v>
      </c>
      <c r="C21" s="393"/>
      <c r="D21" s="393"/>
      <c r="E21" s="393"/>
      <c r="F21" s="393"/>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70" zoomScaleNormal="70" workbookViewId="0">
      <pane ySplit="2" topLeftCell="A3" activePane="bottomLeft" state="frozen"/>
      <selection activeCell="B24" sqref="B24:J24"/>
      <selection pane="bottomLeft" sqref="A1:D1"/>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4"/>
      <c r="B1" s="395"/>
      <c r="C1" s="395"/>
      <c r="D1" s="396"/>
    </row>
    <row r="2" spans="1:8" ht="15">
      <c r="A2" s="176"/>
      <c r="B2" s="177" t="str">
        <f ca="1">OFFSET(L!$C$1,MATCH("Definitions"&amp;ADDRESS(ROW(),COLUMN(),4),L!$A:$A,0)-1,SL,,)</f>
        <v>ITEM</v>
      </c>
      <c r="C2" s="177" t="str">
        <f ca="1">OFFSET(L!$C$1,MATCH("Definitions"&amp;ADDRESS(ROW(),COLUMN(),4),L!$A:$A,0)-1,SL,,)</f>
        <v>DEFINITION</v>
      </c>
      <c r="D2" s="398"/>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8"/>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8"/>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8"/>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8"/>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8"/>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8"/>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9"/>
    </row>
    <row r="28" spans="1:5" ht="15">
      <c r="A28" s="176"/>
      <c r="B28" s="400" t="str">
        <f ca="1">OFFSET(L!$C$1,MATCH("Definitions"&amp;ADDRESS(ROW(),COLUMN(),4),L!$A:$A,0)-1,SL,,)</f>
        <v>* Please consult the EMRT Completion Guide for additional details on primary and secondary sources for this mineral.</v>
      </c>
      <c r="C28" s="400"/>
      <c r="D28" s="398"/>
      <c r="E28" s="179"/>
    </row>
    <row r="29" spans="1:5" ht="15">
      <c r="A29" s="176"/>
      <c r="B29" s="397" t="str">
        <f ca="1">OFFSET(L!$C$1,MATCH("General"&amp;"Cpy",L!$A:$A,0)-1,SL,,)</f>
        <v>© 2025 Responsible Minerals Initiative. All rights reserved.</v>
      </c>
      <c r="C29" s="397"/>
      <c r="D29" s="398"/>
      <c r="E29" s="179"/>
    </row>
    <row r="30" spans="1:5" ht="13.5" thickBot="1">
      <c r="A30" s="180"/>
      <c r="B30" s="181"/>
      <c r="C30" s="181"/>
      <c r="D30" s="399"/>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activeCell="D8" sqref="D8:J8"/>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9"/>
      <c r="B1" s="440"/>
      <c r="C1" s="440"/>
      <c r="D1" s="440"/>
      <c r="E1" s="440"/>
      <c r="F1" s="440"/>
      <c r="G1" s="440"/>
      <c r="H1" s="440"/>
      <c r="I1" s="440"/>
      <c r="J1" s="440"/>
      <c r="K1" s="441"/>
      <c r="L1" s="102"/>
      <c r="P1" s="2"/>
      <c r="Q1" s="2"/>
      <c r="R1" s="2"/>
      <c r="S1" s="2"/>
      <c r="T1" s="2"/>
      <c r="U1" s="2"/>
      <c r="V1" s="2"/>
      <c r="W1" s="2"/>
      <c r="X1" s="2"/>
      <c r="Y1" s="2"/>
      <c r="Z1" s="2"/>
      <c r="AA1" s="2"/>
      <c r="AB1" s="2"/>
      <c r="AC1" s="2"/>
      <c r="AD1" s="2"/>
      <c r="AE1" s="2"/>
      <c r="AF1" s="2"/>
      <c r="AG1" s="2"/>
      <c r="AH1" s="2"/>
    </row>
    <row r="2" spans="1:34" ht="81.75" customHeight="1">
      <c r="A2" s="27"/>
      <c r="B2" s="283"/>
      <c r="C2" s="28"/>
      <c r="D2" s="442" t="str">
        <f ca="1">OFFSET(L!$C$1,MATCH("Declaration"&amp;ADDRESS(ROW(),COLUMN(),4),L!$A:$A,0)-1,SL,,)</f>
        <v>Extended Mineral Reporting Template (EMRT)</v>
      </c>
      <c r="E2" s="443"/>
      <c r="F2" s="443"/>
      <c r="G2" s="443"/>
      <c r="H2" s="443"/>
      <c r="I2" s="443"/>
      <c r="J2" s="444"/>
      <c r="K2" s="29"/>
      <c r="L2" s="103"/>
      <c r="N2" s="96"/>
      <c r="O2" s="96"/>
      <c r="P2" s="2"/>
      <c r="Q2" s="2"/>
      <c r="R2" s="2"/>
      <c r="S2" s="2"/>
      <c r="T2" s="2"/>
      <c r="U2" s="2"/>
      <c r="V2" s="2"/>
      <c r="W2" s="2"/>
      <c r="X2" s="2"/>
      <c r="Y2" s="2"/>
      <c r="Z2" s="2"/>
      <c r="AA2" s="2"/>
      <c r="AB2" s="2"/>
      <c r="AC2" s="2"/>
      <c r="AD2" s="2"/>
      <c r="AE2" s="2"/>
      <c r="AF2" s="2"/>
      <c r="AG2" s="2"/>
      <c r="AH2" s="2"/>
    </row>
    <row r="3" spans="1:34" ht="139.69999999999999" customHeight="1">
      <c r="A3" s="27"/>
      <c r="B3" s="222" t="s">
        <v>18597</v>
      </c>
      <c r="C3" s="11"/>
      <c r="D3" s="30" t="s">
        <v>17</v>
      </c>
      <c r="E3" s="422"/>
      <c r="F3" s="423"/>
      <c r="G3" s="423"/>
      <c r="H3" s="423"/>
      <c r="I3" s="423"/>
      <c r="J3" s="190" t="s">
        <v>19342</v>
      </c>
      <c r="K3" s="29"/>
      <c r="L3" s="102"/>
      <c r="P3" s="38">
        <f>MATCH($D$3,LN,0)</f>
        <v>1</v>
      </c>
    </row>
    <row r="4" spans="1:34" ht="15.75">
      <c r="A4" s="27"/>
      <c r="B4" s="448" t="str">
        <f ca="1">OFFSET(L!$C$1,MATCH("Declaration"&amp;ADDRESS(ROW(),COLUMN(),4),L!$A:$A,0)-1,SL,,)</f>
        <v>The purpose of this document is to collect sourcing information on below minerals.</v>
      </c>
      <c r="C4" s="448"/>
      <c r="D4" s="448"/>
      <c r="E4" s="448"/>
      <c r="F4" s="448"/>
      <c r="G4" s="448"/>
      <c r="H4" s="448"/>
      <c r="I4" s="452" t="str">
        <f ca="1">OFFSET(L!$C$1,MATCH("Declaration"&amp;ADDRESS(ROW(),COLUMN(),4),L!$A:$A,0)-1,SL,,)</f>
        <v>Link to Terms &amp; Conditions</v>
      </c>
      <c r="J4" s="452"/>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8" t="str">
        <f ca="1">OFFSET(L!$C$1,MATCH("Declaration"&amp;ADDRESS(ROW(),COLUMN(),4),L!$A:$A,0)-1,SL,,)</f>
        <v>Mandatory fields are noted with an asterisk (*).  Consult the instructions tab for guidance on how to answer each question.</v>
      </c>
      <c r="C6" s="448"/>
      <c r="D6" s="448"/>
      <c r="E6" s="448"/>
      <c r="F6" s="448"/>
      <c r="G6" s="448"/>
      <c r="H6" s="448"/>
      <c r="I6" s="448"/>
      <c r="J6" s="448"/>
      <c r="K6" s="29"/>
      <c r="L6" s="104" t="s">
        <v>18</v>
      </c>
      <c r="P6" s="2"/>
      <c r="Q6" s="2"/>
      <c r="R6" s="2"/>
      <c r="S6" s="2"/>
      <c r="T6" s="2"/>
      <c r="U6" s="2"/>
      <c r="V6" s="2"/>
      <c r="W6" s="2"/>
      <c r="X6" s="2"/>
      <c r="Y6" s="2"/>
      <c r="Z6" s="2"/>
      <c r="AA6" s="2"/>
      <c r="AB6" s="2"/>
      <c r="AC6" s="2"/>
      <c r="AD6" s="2"/>
      <c r="AE6" s="2"/>
      <c r="AF6" s="2"/>
      <c r="AG6" s="2"/>
      <c r="AH6" s="2"/>
    </row>
    <row r="7" spans="1:34" ht="15.75">
      <c r="A7" s="27"/>
      <c r="B7" s="453" t="str">
        <f ca="1">OFFSET(L!$C$1,MATCH("Declaration"&amp;ADDRESS(ROW(),COLUMN(),4),L!$A:$A,0)-1,SL,,)</f>
        <v>Company Information</v>
      </c>
      <c r="C7" s="453"/>
      <c r="D7" s="453"/>
      <c r="E7" s="453"/>
      <c r="F7" s="453"/>
      <c r="G7" s="453"/>
      <c r="H7" s="453"/>
      <c r="I7" s="453"/>
      <c r="J7" s="453"/>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5" t="s">
        <v>20058</v>
      </c>
      <c r="E8" s="446"/>
      <c r="F8" s="446"/>
      <c r="G8" s="446"/>
      <c r="H8" s="446"/>
      <c r="I8" s="446"/>
      <c r="J8" s="447"/>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8" t="s">
        <v>19</v>
      </c>
      <c r="E9" s="429"/>
      <c r="F9" s="429"/>
      <c r="G9" s="430"/>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4" t="str">
        <f ca="1">OFFSET(L!$C$1,MATCH("Declaration"&amp;ADDRESS(ROW(),COLUMN(),4)&amp;LEFT($D$9,1),L!$A:$A,0)-1,SL,,)</f>
        <v>Description of Scope:</v>
      </c>
      <c r="C10" s="112"/>
      <c r="D10" s="449"/>
      <c r="E10" s="450"/>
      <c r="F10" s="450"/>
      <c r="G10" s="450"/>
      <c r="H10" s="450"/>
      <c r="I10" s="450"/>
      <c r="J10" s="451"/>
      <c r="K10" s="29"/>
      <c r="L10" s="104"/>
      <c r="Q10" s="2"/>
      <c r="R10" s="2"/>
      <c r="S10" s="2"/>
      <c r="T10" s="2"/>
      <c r="U10" s="2"/>
      <c r="V10" s="2"/>
      <c r="W10" s="2"/>
      <c r="X10" s="2"/>
      <c r="Y10" s="2"/>
      <c r="Z10" s="2"/>
      <c r="AA10" s="2"/>
      <c r="AB10" s="2"/>
      <c r="AC10" s="2"/>
      <c r="AD10" s="2"/>
      <c r="AE10" s="2"/>
      <c r="AF10" s="2"/>
      <c r="AG10" s="2"/>
      <c r="AH10" s="2"/>
    </row>
    <row r="11" spans="1:34" ht="15">
      <c r="A11" s="31"/>
      <c r="B11" s="455"/>
      <c r="C11" s="112"/>
      <c r="D11" s="456" t="str">
        <f ca="1">IF(D9=Q9,OFFSET(L!$C$1,MATCH("Declaration"&amp;ADDRESS(ROW(),COLUMN(),4),L!$A:$A,0)-1,SL,,),"")</f>
        <v/>
      </c>
      <c r="E11" s="457"/>
      <c r="F11" s="457"/>
      <c r="G11" s="457"/>
      <c r="H11" s="457"/>
      <c r="I11" s="457"/>
      <c r="J11" s="458"/>
      <c r="K11" s="29"/>
      <c r="L11" s="104"/>
      <c r="Q11" s="2"/>
      <c r="R11" s="2"/>
      <c r="S11" s="2"/>
      <c r="T11" s="2"/>
      <c r="U11" s="2"/>
      <c r="V11" s="2"/>
      <c r="W11" s="2"/>
      <c r="X11" s="2"/>
      <c r="Y11" s="2"/>
      <c r="Z11" s="2"/>
      <c r="AA11" s="368" t="s">
        <v>19145</v>
      </c>
      <c r="AB11" s="2"/>
      <c r="AC11" s="2"/>
      <c r="AD11" s="2"/>
      <c r="AE11" s="2"/>
      <c r="AF11" s="2"/>
      <c r="AG11" s="2"/>
      <c r="AH11" s="2"/>
    </row>
    <row r="12" spans="1:34" ht="15.75">
      <c r="A12" s="31"/>
      <c r="B12" s="459" t="str">
        <f ca="1">OFFSET(L!$C$1,MATCH("Declaration"&amp;ADDRESS(ROW(),COLUMN(),4),L!$A:$A,0)-1,SL,,)</f>
        <v>Select Minerals/Metals in Scope (*):</v>
      </c>
      <c r="C12" s="112"/>
      <c r="D12" s="372" t="s">
        <v>40</v>
      </c>
      <c r="E12" s="461" t="s">
        <v>18641</v>
      </c>
      <c r="F12" s="462"/>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60" t="e">
        <f ca="1">OFFSET(L!$C$1,MATCH("Declaration"&amp;ADDRESS(ROW(),COLUMN(),4),L!$A:$A,0)-1,SL,,)</f>
        <v>#N/A</v>
      </c>
      <c r="C13" s="112"/>
      <c r="D13" s="372" t="s">
        <v>18644</v>
      </c>
      <c r="E13" s="461" t="s">
        <v>41</v>
      </c>
      <c r="F13" s="462"/>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3"/>
      <c r="C14" s="112"/>
      <c r="D14" s="298"/>
      <c r="E14" s="465"/>
      <c r="F14" s="466"/>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4"/>
      <c r="C15" s="112"/>
      <c r="D15" s="298"/>
      <c r="E15" s="465"/>
      <c r="F15" s="466"/>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95" customHeight="1">
      <c r="A16" s="31"/>
      <c r="B16" s="33" t="str">
        <f ca="1">OFFSET(L!$C$1,MATCH("Declaration"&amp;ADDRESS(ROW(),COLUMN(),4),L!$A:$A,0)-1,SL,,)</f>
        <v>Company Unique ID:</v>
      </c>
      <c r="C16" s="67"/>
      <c r="D16" s="425" t="s">
        <v>20059</v>
      </c>
      <c r="E16" s="426"/>
      <c r="F16" s="426"/>
      <c r="G16" s="426"/>
      <c r="H16" s="426"/>
      <c r="I16" s="426"/>
      <c r="J16" s="427"/>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95" customHeight="1">
      <c r="A17" s="31"/>
      <c r="B17" s="33" t="str">
        <f ca="1">OFFSET(L!$C$1,MATCH("Declaration"&amp;ADDRESS(ROW(),COLUMN(),4),L!$A:$A,0)-1,SL,,)</f>
        <v>Company Unique ID Authority:</v>
      </c>
      <c r="C17" s="67"/>
      <c r="D17" s="425" t="s">
        <v>20060</v>
      </c>
      <c r="E17" s="426"/>
      <c r="F17" s="426"/>
      <c r="G17" s="426"/>
      <c r="H17" s="426"/>
      <c r="I17" s="426"/>
      <c r="J17" s="427"/>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95" customHeight="1">
      <c r="A18" s="31"/>
      <c r="B18" s="33" t="str">
        <f ca="1">OFFSET(L!$C$1,MATCH("Declaration"&amp;ADDRESS(ROW(),COLUMN(),4),L!$A:$A,0)-1,SL,,)</f>
        <v>Address:</v>
      </c>
      <c r="C18" s="67"/>
      <c r="D18" s="425" t="s">
        <v>20061</v>
      </c>
      <c r="E18" s="426"/>
      <c r="F18" s="426"/>
      <c r="G18" s="426"/>
      <c r="H18" s="426"/>
      <c r="I18" s="426"/>
      <c r="J18" s="427"/>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5.95" customHeight="1">
      <c r="A19" s="31"/>
      <c r="B19" s="33" t="str">
        <f ca="1">OFFSET(L!$C$1,MATCH("Declaration"&amp;ADDRESS(ROW(),COLUMN(),4),L!$A:$A,0)-1,SL,,)</f>
        <v>Contact Name (*):</v>
      </c>
      <c r="C19" s="67"/>
      <c r="D19" s="425" t="s">
        <v>20062</v>
      </c>
      <c r="E19" s="426"/>
      <c r="F19" s="426"/>
      <c r="G19" s="426"/>
      <c r="H19" s="426"/>
      <c r="I19" s="426"/>
      <c r="J19" s="427"/>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95" customHeight="1">
      <c r="A20" s="31"/>
      <c r="B20" s="33" t="str">
        <f ca="1">OFFSET(L!$C$1,MATCH("Declaration"&amp;ADDRESS(ROW(),COLUMN(),4),L!$A:$A,0)-1,SL,,)</f>
        <v>Email – Contact (*):</v>
      </c>
      <c r="C20" s="67"/>
      <c r="D20" s="434" t="s">
        <v>20063</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95" customHeight="1">
      <c r="A21" s="31"/>
      <c r="B21" s="33" t="str">
        <f ca="1">OFFSET(L!$C$1,MATCH("Declaration"&amp;ADDRESS(ROW(),COLUMN(),4),L!$A:$A,0)-1,SL,,)</f>
        <v>Phone – Contact (*):</v>
      </c>
      <c r="C21" s="67"/>
      <c r="D21" s="432" t="s">
        <v>20064</v>
      </c>
      <c r="E21" s="426"/>
      <c r="F21" s="426"/>
      <c r="G21" s="426"/>
      <c r="H21" s="426"/>
      <c r="I21" s="426"/>
      <c r="J21" s="427"/>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15.95" customHeight="1">
      <c r="A22" s="31"/>
      <c r="B22" s="33" t="str">
        <f ca="1">OFFSET(L!$C$1,MATCH("Declaration"&amp;ADDRESS(ROW(),COLUMN(),4),L!$A:$A,0)-1,SL,,)</f>
        <v>Authorizer (*):</v>
      </c>
      <c r="C22" s="67"/>
      <c r="D22" s="425" t="s">
        <v>20065</v>
      </c>
      <c r="E22" s="426"/>
      <c r="F22" s="426"/>
      <c r="G22" s="426"/>
      <c r="H22" s="426"/>
      <c r="I22" s="426"/>
      <c r="J22" s="427"/>
      <c r="K22" s="29"/>
      <c r="L22" s="98"/>
      <c r="Q22" s="2"/>
      <c r="R22" s="2"/>
      <c r="S22" s="2"/>
      <c r="T22" s="2"/>
      <c r="U22" s="2"/>
      <c r="V22" s="2"/>
      <c r="W22" s="2"/>
      <c r="X22" s="2"/>
      <c r="Y22" s="2"/>
      <c r="Z22" s="2"/>
      <c r="AA22" s="2">
        <f>10-COUNTIF(AA12:AA21,"")</f>
        <v>6</v>
      </c>
      <c r="AB22" s="2"/>
      <c r="AC22" s="2"/>
      <c r="AD22" s="2"/>
      <c r="AE22" s="2"/>
      <c r="AF22" s="2"/>
      <c r="AG22" s="2"/>
    </row>
    <row r="23" spans="1:33" ht="15.95" customHeight="1">
      <c r="A23" s="31"/>
      <c r="B23" s="33" t="str">
        <f ca="1">OFFSET(L!$C$1,MATCH("Declaration"&amp;ADDRESS(ROW(),COLUMN(),4),L!$A:$A,0)-1,SL,,)</f>
        <v>Title - Authorizer:</v>
      </c>
      <c r="C23" s="67"/>
      <c r="D23" s="425" t="s">
        <v>20066</v>
      </c>
      <c r="E23" s="426"/>
      <c r="F23" s="426"/>
      <c r="G23" s="426"/>
      <c r="H23" s="426"/>
      <c r="I23" s="426"/>
      <c r="J23" s="427"/>
      <c r="K23" s="29"/>
      <c r="L23" s="98"/>
      <c r="P23" s="2"/>
      <c r="Q23" s="2"/>
      <c r="R23" s="2"/>
      <c r="S23" s="2"/>
      <c r="T23" s="2"/>
      <c r="U23" s="2"/>
      <c r="V23" s="2"/>
      <c r="W23" s="2"/>
      <c r="X23" s="2"/>
      <c r="Y23" s="2"/>
      <c r="Z23" s="2"/>
      <c r="AA23" s="2">
        <f>IF(AA22=0,0.1,AA22)</f>
        <v>6</v>
      </c>
      <c r="AB23" s="2"/>
      <c r="AC23" s="2"/>
      <c r="AD23" s="2"/>
      <c r="AE23" s="2"/>
      <c r="AF23" s="2"/>
      <c r="AG23" s="2"/>
    </row>
    <row r="24" spans="1:33" ht="15.95" customHeight="1">
      <c r="A24" s="31"/>
      <c r="B24" s="33" t="str">
        <f ca="1">OFFSET(L!$C$1,MATCH("Declaration"&amp;ADDRESS(ROW(),COLUMN(),4),L!$A:$A,0)-1,SL,,)</f>
        <v>Email - Authorizer (*):</v>
      </c>
      <c r="C24" s="67"/>
      <c r="D24" s="434" t="s">
        <v>20063</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95" customHeight="1">
      <c r="A25" s="31"/>
      <c r="B25" s="33" t="str">
        <f ca="1">OFFSET(L!$C$1,MATCH("Declaration"&amp;ADDRESS(ROW(),COLUMN(),4),L!$A:$A,0)-1,SL,,)</f>
        <v>Phone - Authorizer:</v>
      </c>
      <c r="C25" s="124"/>
      <c r="D25" s="432" t="s">
        <v>20064</v>
      </c>
      <c r="E25" s="426"/>
      <c r="F25" s="426"/>
      <c r="G25" s="426"/>
      <c r="H25" s="426"/>
      <c r="I25" s="426"/>
      <c r="J25" s="427"/>
      <c r="K25" s="29"/>
      <c r="L25" s="104"/>
      <c r="P25" s="2"/>
      <c r="Q25" s="2"/>
      <c r="R25" s="2"/>
      <c r="S25" s="2"/>
      <c r="T25" s="2"/>
      <c r="U25" s="2"/>
      <c r="V25" s="2"/>
      <c r="W25" s="2"/>
      <c r="X25" s="2"/>
      <c r="Y25" s="2"/>
      <c r="Z25" s="2"/>
      <c r="AA25" s="2"/>
      <c r="AB25" s="2"/>
      <c r="AC25" s="2"/>
      <c r="AD25" s="2"/>
      <c r="AE25" s="2"/>
      <c r="AF25" s="2"/>
      <c r="AG25" s="2"/>
    </row>
    <row r="26" spans="1:33" ht="15.95" customHeight="1">
      <c r="A26" s="31"/>
      <c r="B26" s="33" t="str">
        <f ca="1">OFFSET(L!$C$1,MATCH("Declaration"&amp;ADDRESS(ROW(),COLUMN(),4),L!$A:$A,0)-1,SL,,)</f>
        <v>Effective Date (*):</v>
      </c>
      <c r="C26" s="68"/>
      <c r="D26" s="437">
        <v>45810</v>
      </c>
      <c r="E26" s="438"/>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1"/>
      <c r="E27" s="43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3" t="str">
        <f ca="1">OFFSET(L!$C$1,MATCH("Declaration"&amp;ADDRESS(ROW(),COLUMN(),4),L!$A:$A,0)-1,SL,,)</f>
        <v>Answer the following questions 1 - 7 based on the declaration scope indicated above</v>
      </c>
      <c r="C28" s="433"/>
      <c r="D28" s="433"/>
      <c r="E28" s="433"/>
      <c r="F28" s="433"/>
      <c r="G28" s="433"/>
      <c r="H28" s="433"/>
      <c r="I28" s="433"/>
      <c r="J28" s="433"/>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4" t="s">
        <v>25</v>
      </c>
      <c r="E30" s="405"/>
      <c r="F30" s="8"/>
      <c r="G30" s="406"/>
      <c r="H30" s="407"/>
      <c r="I30" s="407"/>
      <c r="J30" s="408"/>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04" t="s">
        <v>25</v>
      </c>
      <c r="E31" s="405"/>
      <c r="F31" s="8"/>
      <c r="G31" s="406"/>
      <c r="H31" s="407"/>
      <c r="I31" s="407"/>
      <c r="J31" s="408"/>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4" t="s">
        <v>22</v>
      </c>
      <c r="E32" s="405"/>
      <c r="F32" s="8"/>
      <c r="G32" s="406"/>
      <c r="H32" s="407"/>
      <c r="I32" s="407"/>
      <c r="J32" s="408"/>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4" t="s">
        <v>22</v>
      </c>
      <c r="E33" s="405"/>
      <c r="F33" s="8"/>
      <c r="G33" s="406"/>
      <c r="H33" s="407"/>
      <c r="I33" s="407"/>
      <c r="J33" s="408"/>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4" t="s">
        <v>22</v>
      </c>
      <c r="E34" s="405"/>
      <c r="F34" s="8"/>
      <c r="G34" s="406"/>
      <c r="H34" s="407"/>
      <c r="I34" s="407"/>
      <c r="J34" s="408"/>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4" t="s">
        <v>25</v>
      </c>
      <c r="E35" s="405"/>
      <c r="F35" s="8"/>
      <c r="G35" s="406"/>
      <c r="H35" s="407"/>
      <c r="I35" s="407"/>
      <c r="J35" s="408"/>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4"/>
      <c r="E36" s="405"/>
      <c r="F36" s="8"/>
      <c r="G36" s="406"/>
      <c r="H36" s="407"/>
      <c r="I36" s="407"/>
      <c r="J36" s="408"/>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4"/>
      <c r="E37" s="405"/>
      <c r="F37" s="8"/>
      <c r="G37" s="406"/>
      <c r="H37" s="407"/>
      <c r="I37" s="407"/>
      <c r="J37" s="408"/>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4"/>
      <c r="E38" s="405"/>
      <c r="F38" s="8"/>
      <c r="G38" s="406"/>
      <c r="H38" s="407"/>
      <c r="I38" s="407"/>
      <c r="J38" s="408"/>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4"/>
      <c r="E39" s="405"/>
      <c r="F39" s="8"/>
      <c r="G39" s="406"/>
      <c r="H39" s="407"/>
      <c r="I39" s="407"/>
      <c r="J39" s="408"/>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4" t="s">
        <v>25</v>
      </c>
      <c r="E42" s="405"/>
      <c r="F42" s="8"/>
      <c r="G42" s="406"/>
      <c r="H42" s="407"/>
      <c r="I42" s="407"/>
      <c r="J42" s="408"/>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04" t="s">
        <v>25</v>
      </c>
      <c r="E43" s="405"/>
      <c r="F43" s="8"/>
      <c r="G43" s="406"/>
      <c r="H43" s="407"/>
      <c r="I43" s="407"/>
      <c r="J43" s="408"/>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04"/>
      <c r="E44" s="405"/>
      <c r="F44" s="8"/>
      <c r="G44" s="406"/>
      <c r="H44" s="407"/>
      <c r="I44" s="407"/>
      <c r="J44" s="408"/>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04"/>
      <c r="E45" s="405"/>
      <c r="F45" s="8"/>
      <c r="G45" s="406"/>
      <c r="H45" s="407"/>
      <c r="I45" s="407"/>
      <c r="J45" s="408"/>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4"/>
      <c r="E46" s="405"/>
      <c r="F46" s="8"/>
      <c r="G46" s="406"/>
      <c r="H46" s="407"/>
      <c r="I46" s="407"/>
      <c r="J46" s="408"/>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4" t="s">
        <v>25</v>
      </c>
      <c r="E47" s="405"/>
      <c r="F47" s="8"/>
      <c r="G47" s="406"/>
      <c r="H47" s="407"/>
      <c r="I47" s="407"/>
      <c r="J47" s="408"/>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4"/>
      <c r="E48" s="405"/>
      <c r="F48" s="8"/>
      <c r="G48" s="406"/>
      <c r="H48" s="407"/>
      <c r="I48" s="407"/>
      <c r="J48" s="408"/>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4"/>
      <c r="E49" s="405"/>
      <c r="F49" s="8"/>
      <c r="G49" s="406"/>
      <c r="H49" s="407"/>
      <c r="I49" s="407"/>
      <c r="J49" s="408"/>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4"/>
      <c r="E50" s="405"/>
      <c r="F50" s="8"/>
      <c r="G50" s="406"/>
      <c r="H50" s="407"/>
      <c r="I50" s="407"/>
      <c r="J50" s="408"/>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4"/>
      <c r="E51" s="405"/>
      <c r="F51" s="8"/>
      <c r="G51" s="406"/>
      <c r="H51" s="407"/>
      <c r="I51" s="407"/>
      <c r="J51" s="408"/>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9.8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4" t="s">
        <v>22</v>
      </c>
      <c r="E54" s="405"/>
      <c r="F54" s="40"/>
      <c r="G54" s="406"/>
      <c r="H54" s="407"/>
      <c r="I54" s="407"/>
      <c r="J54" s="408"/>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4" t="s">
        <v>26</v>
      </c>
      <c r="E55" s="405"/>
      <c r="F55" s="40"/>
      <c r="G55" s="406"/>
      <c r="H55" s="407"/>
      <c r="I55" s="407"/>
      <c r="J55" s="408"/>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300" t="str">
        <f>IF(ISERROR(AA$14),"",AA$14&amp;"")&amp;P$56</f>
        <v>Graphite</v>
      </c>
      <c r="C56" s="6"/>
      <c r="D56" s="404"/>
      <c r="E56" s="405"/>
      <c r="F56" s="40"/>
      <c r="G56" s="406"/>
      <c r="H56" s="407"/>
      <c r="I56" s="407"/>
      <c r="J56" s="408"/>
      <c r="K56" s="29"/>
      <c r="L56" s="105"/>
      <c r="P56" s="301" t="str">
        <f t="shared" si="135"/>
        <v/>
      </c>
      <c r="Q56" s="2"/>
      <c r="R56" s="2"/>
      <c r="S56" s="2"/>
      <c r="T56" s="2"/>
      <c r="U56" s="2"/>
      <c r="V56" s="2"/>
      <c r="W56" s="2"/>
      <c r="X56" s="2"/>
      <c r="Y56" s="2">
        <v>40</v>
      </c>
      <c r="Z56" s="2"/>
      <c r="AA56" s="2"/>
      <c r="AB56" s="2"/>
      <c r="AC56" s="2"/>
      <c r="AD56" s="2"/>
      <c r="AE56" s="2"/>
      <c r="AF56" s="2"/>
    </row>
    <row r="57" spans="1:33" ht="22.15" customHeight="1">
      <c r="A57" s="34"/>
      <c r="B57" s="300" t="str">
        <f>IF(ISERROR(AA$15),"",AA$15&amp;"")&amp;P$57</f>
        <v>Lithium</v>
      </c>
      <c r="C57" s="6"/>
      <c r="D57" s="404"/>
      <c r="E57" s="405"/>
      <c r="F57" s="40"/>
      <c r="G57" s="406"/>
      <c r="H57" s="407"/>
      <c r="I57" s="407"/>
      <c r="J57" s="408"/>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4"/>
      <c r="E58" s="405"/>
      <c r="F58" s="40"/>
      <c r="G58" s="406"/>
      <c r="H58" s="407"/>
      <c r="I58" s="407"/>
      <c r="J58" s="408"/>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4" t="s">
        <v>26</v>
      </c>
      <c r="E59" s="405"/>
      <c r="F59" s="40"/>
      <c r="G59" s="406"/>
      <c r="H59" s="407"/>
      <c r="I59" s="407"/>
      <c r="J59" s="408"/>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4"/>
      <c r="E60" s="405"/>
      <c r="F60" s="40"/>
      <c r="G60" s="406"/>
      <c r="H60" s="407"/>
      <c r="I60" s="407"/>
      <c r="J60" s="408"/>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4"/>
      <c r="E61" s="405"/>
      <c r="F61" s="40"/>
      <c r="G61" s="406"/>
      <c r="H61" s="407"/>
      <c r="I61" s="407"/>
      <c r="J61" s="408"/>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4"/>
      <c r="E62" s="405"/>
      <c r="F62" s="40"/>
      <c r="G62" s="406"/>
      <c r="H62" s="407"/>
      <c r="I62" s="407"/>
      <c r="J62" s="408"/>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4"/>
      <c r="E63" s="405"/>
      <c r="F63" s="40"/>
      <c r="G63" s="406"/>
      <c r="H63" s="407"/>
      <c r="I63" s="407"/>
      <c r="J63" s="408"/>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65" customHeight="1">
      <c r="A65" s="34"/>
      <c r="B65" s="37" t="str">
        <f ca="1">OFFSET(L!$C$1,MATCH("Declaration"&amp;ADDRESS(ROW(),COLUMN(),4),L!$A:$A,0)-1,SL,,)&amp;Q53</f>
        <v>4) Does 100 percent of the specified minaral/metal originate from recycled or scrap sources?(*)</v>
      </c>
      <c r="C65" s="6"/>
      <c r="D65" s="420" t="str">
        <f ca="1">D29</f>
        <v>Answer</v>
      </c>
      <c r="E65" s="420"/>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4" t="s">
        <v>22</v>
      </c>
      <c r="E66" s="405"/>
      <c r="F66" s="40"/>
      <c r="G66" s="406"/>
      <c r="H66" s="407"/>
      <c r="I66" s="407"/>
      <c r="J66" s="408"/>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4" t="s">
        <v>22</v>
      </c>
      <c r="E67" s="405"/>
      <c r="F67" s="40"/>
      <c r="G67" s="406"/>
      <c r="H67" s="407"/>
      <c r="I67" s="407"/>
      <c r="J67" s="408"/>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4"/>
      <c r="E68" s="405"/>
      <c r="F68" s="40"/>
      <c r="G68" s="406"/>
      <c r="H68" s="407"/>
      <c r="I68" s="407"/>
      <c r="J68" s="408"/>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4"/>
      <c r="E69" s="405"/>
      <c r="F69" s="40"/>
      <c r="G69" s="406"/>
      <c r="H69" s="407"/>
      <c r="I69" s="407"/>
      <c r="J69" s="408"/>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4"/>
      <c r="E70" s="405"/>
      <c r="F70" s="40"/>
      <c r="G70" s="406"/>
      <c r="H70" s="407"/>
      <c r="I70" s="407"/>
      <c r="J70" s="408"/>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4" t="s">
        <v>22</v>
      </c>
      <c r="E71" s="405"/>
      <c r="F71" s="40"/>
      <c r="G71" s="406"/>
      <c r="H71" s="407"/>
      <c r="I71" s="407"/>
      <c r="J71" s="408"/>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4"/>
      <c r="E72" s="405"/>
      <c r="F72" s="40"/>
      <c r="G72" s="406"/>
      <c r="H72" s="407"/>
      <c r="I72" s="407"/>
      <c r="J72" s="408"/>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4"/>
      <c r="E73" s="405"/>
      <c r="F73" s="40"/>
      <c r="G73" s="406"/>
      <c r="H73" s="407"/>
      <c r="I73" s="407"/>
      <c r="J73" s="408"/>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4"/>
      <c r="E74" s="405"/>
      <c r="F74" s="40"/>
      <c r="G74" s="406"/>
      <c r="H74" s="407"/>
      <c r="I74" s="407"/>
      <c r="J74" s="408"/>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4"/>
      <c r="E75" s="405"/>
      <c r="F75" s="40"/>
      <c r="G75" s="406"/>
      <c r="H75" s="407"/>
      <c r="I75" s="407"/>
      <c r="J75" s="408"/>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4" t="s">
        <v>20051</v>
      </c>
      <c r="E78" s="405"/>
      <c r="F78" s="40"/>
      <c r="G78" s="406"/>
      <c r="H78" s="407"/>
      <c r="I78" s="407"/>
      <c r="J78" s="408"/>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4" t="s">
        <v>30</v>
      </c>
      <c r="E79" s="405"/>
      <c r="F79" s="40"/>
      <c r="G79" s="406" t="s">
        <v>20055</v>
      </c>
      <c r="H79" s="407"/>
      <c r="I79" s="407"/>
      <c r="J79" s="408"/>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4"/>
      <c r="E80" s="405"/>
      <c r="F80" s="40"/>
      <c r="G80" s="406"/>
      <c r="H80" s="407"/>
      <c r="I80" s="407"/>
      <c r="J80" s="408"/>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4"/>
      <c r="E81" s="405"/>
      <c r="F81" s="40"/>
      <c r="G81" s="406"/>
      <c r="H81" s="407"/>
      <c r="I81" s="407"/>
      <c r="J81" s="408"/>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4"/>
      <c r="E82" s="405"/>
      <c r="F82" s="40"/>
      <c r="G82" s="406"/>
      <c r="H82" s="407"/>
      <c r="I82" s="407"/>
      <c r="J82" s="408"/>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4" t="s">
        <v>30</v>
      </c>
      <c r="E83" s="405"/>
      <c r="F83" s="40"/>
      <c r="G83" s="406" t="s">
        <v>20056</v>
      </c>
      <c r="H83" s="407"/>
      <c r="I83" s="407"/>
      <c r="J83" s="408"/>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4"/>
      <c r="E84" s="405"/>
      <c r="F84" s="40"/>
      <c r="G84" s="406"/>
      <c r="H84" s="407"/>
      <c r="I84" s="407"/>
      <c r="J84" s="408"/>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4"/>
      <c r="E85" s="405"/>
      <c r="F85" s="40"/>
      <c r="G85" s="406"/>
      <c r="H85" s="407"/>
      <c r="I85" s="407"/>
      <c r="J85" s="408"/>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4"/>
      <c r="E86" s="405"/>
      <c r="F86" s="40"/>
      <c r="G86" s="406"/>
      <c r="H86" s="407"/>
      <c r="I86" s="407"/>
      <c r="J86" s="408"/>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4"/>
      <c r="E87" s="405"/>
      <c r="F87" s="40"/>
      <c r="G87" s="406"/>
      <c r="H87" s="407"/>
      <c r="I87" s="407"/>
      <c r="J87" s="408"/>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4" t="s">
        <v>25</v>
      </c>
      <c r="E90" s="405"/>
      <c r="F90" s="40"/>
      <c r="G90" s="406"/>
      <c r="H90" s="407"/>
      <c r="I90" s="407"/>
      <c r="J90" s="408"/>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4" t="s">
        <v>22</v>
      </c>
      <c r="E91" s="405"/>
      <c r="F91" s="40"/>
      <c r="G91" s="406" t="s">
        <v>20055</v>
      </c>
      <c r="H91" s="407"/>
      <c r="I91" s="407"/>
      <c r="J91" s="408"/>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4"/>
      <c r="E92" s="405"/>
      <c r="F92" s="40"/>
      <c r="G92" s="406"/>
      <c r="H92" s="407"/>
      <c r="I92" s="407"/>
      <c r="J92" s="408"/>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4"/>
      <c r="E93" s="405"/>
      <c r="F93" s="40"/>
      <c r="G93" s="406"/>
      <c r="H93" s="407"/>
      <c r="I93" s="407"/>
      <c r="J93" s="408"/>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4"/>
      <c r="E94" s="405"/>
      <c r="F94" s="40"/>
      <c r="G94" s="406"/>
      <c r="H94" s="407"/>
      <c r="I94" s="407"/>
      <c r="J94" s="408"/>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4" t="s">
        <v>22</v>
      </c>
      <c r="E95" s="405"/>
      <c r="F95" s="40"/>
      <c r="G95" s="406" t="s">
        <v>20056</v>
      </c>
      <c r="H95" s="407"/>
      <c r="I95" s="407"/>
      <c r="J95" s="408"/>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4"/>
      <c r="E96" s="405"/>
      <c r="F96" s="40"/>
      <c r="G96" s="406"/>
      <c r="H96" s="407"/>
      <c r="I96" s="407"/>
      <c r="J96" s="408"/>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4"/>
      <c r="E97" s="405"/>
      <c r="F97" s="40"/>
      <c r="G97" s="406"/>
      <c r="H97" s="407"/>
      <c r="I97" s="407"/>
      <c r="J97" s="408"/>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4"/>
      <c r="E98" s="405"/>
      <c r="F98" s="40"/>
      <c r="G98" s="406"/>
      <c r="H98" s="407"/>
      <c r="I98" s="407"/>
      <c r="J98" s="408"/>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4"/>
      <c r="E99" s="405"/>
      <c r="F99" s="40"/>
      <c r="G99" s="406"/>
      <c r="H99" s="407"/>
      <c r="I99" s="407"/>
      <c r="J99" s="408"/>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35.1" customHeight="1">
      <c r="A102" s="34"/>
      <c r="B102" s="300" t="str">
        <f>IF(ISERROR(AA$12),"",AA$12&amp;"")&amp;P$54</f>
        <v>Cobalt(*)</v>
      </c>
      <c r="C102" s="28"/>
      <c r="D102" s="404" t="s">
        <v>25</v>
      </c>
      <c r="E102" s="405"/>
      <c r="F102" s="41"/>
      <c r="G102" s="406" t="s">
        <v>20052</v>
      </c>
      <c r="H102" s="407"/>
      <c r="I102" s="407"/>
      <c r="J102" s="408"/>
      <c r="K102" s="29"/>
      <c r="L102" s="105"/>
      <c r="P102" s="2"/>
      <c r="Q102" s="2"/>
      <c r="R102" s="2"/>
      <c r="S102" s="2"/>
      <c r="T102" s="2"/>
      <c r="U102" s="2"/>
      <c r="V102" s="2"/>
      <c r="W102" s="2"/>
      <c r="X102" s="2"/>
      <c r="Y102" s="2">
        <v>62</v>
      </c>
      <c r="Z102" s="2"/>
      <c r="AA102" s="2"/>
      <c r="AB102" s="2"/>
      <c r="AC102" s="2"/>
      <c r="AD102" s="2"/>
      <c r="AE102" s="2"/>
      <c r="AF102" s="2"/>
      <c r="AG102" s="2"/>
    </row>
    <row r="103" spans="1:33" ht="35.1" customHeight="1">
      <c r="A103" s="34"/>
      <c r="B103" s="300" t="str">
        <f>IF(ISERROR(AA$13),"",AA$13&amp;"")&amp;P$55</f>
        <v>Copper(*)</v>
      </c>
      <c r="C103" s="28"/>
      <c r="D103" s="404" t="s">
        <v>25</v>
      </c>
      <c r="E103" s="405"/>
      <c r="F103" s="41"/>
      <c r="G103" s="406" t="s">
        <v>20053</v>
      </c>
      <c r="H103" s="407"/>
      <c r="I103" s="407"/>
      <c r="J103" s="408"/>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4"/>
      <c r="E104" s="405"/>
      <c r="F104" s="41"/>
      <c r="G104" s="406"/>
      <c r="H104" s="407"/>
      <c r="I104" s="407"/>
      <c r="J104" s="408"/>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4"/>
      <c r="E105" s="405"/>
      <c r="F105" s="41"/>
      <c r="G105" s="406"/>
      <c r="H105" s="407"/>
      <c r="I105" s="407"/>
      <c r="J105" s="408"/>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4"/>
      <c r="E106" s="405"/>
      <c r="F106" s="41"/>
      <c r="G106" s="406"/>
      <c r="H106" s="407"/>
      <c r="I106" s="407"/>
      <c r="J106" s="408"/>
      <c r="K106" s="29"/>
      <c r="L106" s="105"/>
      <c r="P106" s="2"/>
      <c r="Q106" s="2"/>
      <c r="R106" s="2"/>
      <c r="S106" s="2"/>
      <c r="T106" s="2"/>
      <c r="U106" s="2"/>
      <c r="V106" s="2"/>
      <c r="W106" s="2"/>
      <c r="X106" s="2"/>
      <c r="Y106" s="2">
        <v>64</v>
      </c>
      <c r="Z106" s="2"/>
      <c r="AA106" s="2"/>
      <c r="AB106" s="2"/>
      <c r="AC106" s="2"/>
      <c r="AD106" s="2"/>
      <c r="AE106" s="2"/>
      <c r="AF106" s="2"/>
      <c r="AG106" s="2"/>
    </row>
    <row r="107" spans="1:33" ht="35.1" customHeight="1">
      <c r="A107" s="34"/>
      <c r="B107" s="300" t="str">
        <f>IF(ISERROR(AA$17),"",AA$17&amp;"")&amp;P$59</f>
        <v>Nickel(*)</v>
      </c>
      <c r="C107" s="28"/>
      <c r="D107" s="404" t="s">
        <v>25</v>
      </c>
      <c r="E107" s="405"/>
      <c r="F107" s="41"/>
      <c r="G107" s="406" t="s">
        <v>20054</v>
      </c>
      <c r="H107" s="407"/>
      <c r="I107" s="407"/>
      <c r="J107" s="408"/>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4"/>
      <c r="E108" s="405"/>
      <c r="F108" s="41"/>
      <c r="G108" s="406"/>
      <c r="H108" s="407"/>
      <c r="I108" s="407"/>
      <c r="J108" s="408"/>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4"/>
      <c r="E109" s="405"/>
      <c r="F109" s="41"/>
      <c r="G109" s="406"/>
      <c r="H109" s="407"/>
      <c r="I109" s="407"/>
      <c r="J109" s="408"/>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4"/>
      <c r="E110" s="405"/>
      <c r="F110" s="41"/>
      <c r="G110" s="406"/>
      <c r="H110" s="407"/>
      <c r="I110" s="407"/>
      <c r="J110" s="408"/>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4"/>
      <c r="E111" s="405"/>
      <c r="F111" s="43"/>
      <c r="G111" s="406"/>
      <c r="H111" s="407"/>
      <c r="I111" s="407"/>
      <c r="J111" s="408"/>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3" t="str">
        <f ca="1">D29</f>
        <v>Answer</v>
      </c>
      <c r="E114" s="413"/>
      <c r="F114" s="46"/>
      <c r="G114" s="413" t="str">
        <f ca="1">G29</f>
        <v>Comments</v>
      </c>
      <c r="H114" s="413" t="e">
        <f>HLOOKUP(SL,LT,$O114,0)</f>
        <v>#NAME?</v>
      </c>
      <c r="I114" s="413"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59.1" customHeight="1">
      <c r="A115" s="34"/>
      <c r="B115" s="49" t="str">
        <f ca="1">OFFSET(L!$C$1,MATCH("Declaration"&amp;ADDRESS(ROW(),COLUMN(),4),L!$A:$A,0)-1,SL,,)&amp;P54</f>
        <v>A. Have you established a responsible minerals sourcing policy?(*)</v>
      </c>
      <c r="C115" s="50"/>
      <c r="D115" s="404" t="s">
        <v>25</v>
      </c>
      <c r="E115" s="405"/>
      <c r="F115" s="50"/>
      <c r="G115" s="406" t="s">
        <v>20067</v>
      </c>
      <c r="H115" s="407"/>
      <c r="I115" s="407"/>
      <c r="J115" s="408"/>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1"/>
      <c r="H116" s="411"/>
      <c r="I116" s="411"/>
      <c r="J116" s="41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4" t="s">
        <v>25</v>
      </c>
      <c r="E117" s="405"/>
      <c r="F117" s="50"/>
      <c r="G117" s="414" t="s">
        <v>20057</v>
      </c>
      <c r="H117" s="415"/>
      <c r="I117" s="415"/>
      <c r="J117" s="41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7"/>
      <c r="E119" s="417"/>
      <c r="F119" s="233"/>
      <c r="G119" s="418"/>
      <c r="H119" s="418"/>
      <c r="I119" s="418"/>
      <c r="J119" s="41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4" t="s">
        <v>25</v>
      </c>
      <c r="E120" s="405"/>
      <c r="F120" s="8"/>
      <c r="G120" s="406" t="s">
        <v>20068</v>
      </c>
      <c r="H120" s="407"/>
      <c r="I120" s="407"/>
      <c r="J120" s="408"/>
      <c r="K120" s="29"/>
      <c r="L120" s="101"/>
      <c r="M120" s="100"/>
      <c r="P120" s="2"/>
      <c r="Q120" s="2"/>
      <c r="R120" s="2"/>
      <c r="S120" s="2"/>
      <c r="T120" s="2"/>
      <c r="U120" s="2"/>
      <c r="V120" s="2"/>
      <c r="W120" s="2"/>
      <c r="X120" s="2"/>
      <c r="Y120" s="2"/>
      <c r="Z120" s="2"/>
      <c r="AA120" s="2"/>
      <c r="AB120" s="2"/>
      <c r="AC120" s="2"/>
      <c r="AD120" s="2"/>
      <c r="AE120" s="2"/>
      <c r="AF120" s="2"/>
      <c r="AG120" s="2"/>
    </row>
    <row r="121" spans="1:33" ht="35.1" customHeight="1">
      <c r="A121" s="34"/>
      <c r="B121" s="300" t="str">
        <f>IF(ISERROR(AA$13),"",AA$13&amp;"")&amp;P$55</f>
        <v>Copper(*)</v>
      </c>
      <c r="C121" s="294"/>
      <c r="D121" s="404" t="s">
        <v>38</v>
      </c>
      <c r="E121" s="405"/>
      <c r="F121" s="8"/>
      <c r="G121" s="406" t="s">
        <v>20069</v>
      </c>
      <c r="H121" s="407"/>
      <c r="I121" s="407"/>
      <c r="J121" s="408"/>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4"/>
      <c r="E122" s="405"/>
      <c r="F122" s="8"/>
      <c r="G122" s="406"/>
      <c r="H122" s="407"/>
      <c r="I122" s="407"/>
      <c r="J122" s="408"/>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4"/>
      <c r="E123" s="405"/>
      <c r="F123" s="8"/>
      <c r="G123" s="406"/>
      <c r="H123" s="407"/>
      <c r="I123" s="407"/>
      <c r="J123" s="408"/>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4"/>
      <c r="E124" s="405"/>
      <c r="F124" s="8"/>
      <c r="G124" s="406"/>
      <c r="H124" s="407"/>
      <c r="I124" s="407"/>
      <c r="J124" s="408"/>
      <c r="K124" s="29"/>
      <c r="L124" s="101"/>
      <c r="M124" s="100"/>
      <c r="P124" s="2"/>
      <c r="Q124" s="2"/>
      <c r="R124" s="2"/>
      <c r="S124" s="2"/>
      <c r="T124" s="2"/>
      <c r="U124" s="2"/>
      <c r="V124" s="2"/>
      <c r="W124" s="2"/>
      <c r="X124" s="2"/>
      <c r="Y124" s="2"/>
      <c r="Z124" s="2"/>
      <c r="AA124" s="2"/>
      <c r="AB124" s="2"/>
      <c r="AC124" s="2"/>
      <c r="AD124" s="2"/>
      <c r="AE124" s="2"/>
      <c r="AF124" s="2"/>
      <c r="AG124" s="2"/>
    </row>
    <row r="125" spans="1:33" ht="35.1" customHeight="1">
      <c r="A125" s="34"/>
      <c r="B125" s="300" t="str">
        <f>IF(ISERROR(AA$17),"",AA$17&amp;"")&amp;P$59</f>
        <v>Nickel(*)</v>
      </c>
      <c r="C125" s="6"/>
      <c r="D125" s="404" t="s">
        <v>38</v>
      </c>
      <c r="E125" s="405"/>
      <c r="F125" s="8"/>
      <c r="G125" s="406" t="s">
        <v>20069</v>
      </c>
      <c r="H125" s="407"/>
      <c r="I125" s="407"/>
      <c r="J125" s="408"/>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4"/>
      <c r="E126" s="405"/>
      <c r="F126" s="8"/>
      <c r="G126" s="406"/>
      <c r="H126" s="407"/>
      <c r="I126" s="407"/>
      <c r="J126" s="408"/>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4"/>
      <c r="E127" s="405"/>
      <c r="F127" s="8"/>
      <c r="G127" s="406"/>
      <c r="H127" s="407"/>
      <c r="I127" s="407"/>
      <c r="J127" s="408"/>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4"/>
      <c r="E128" s="405"/>
      <c r="F128" s="8"/>
      <c r="G128" s="406"/>
      <c r="H128" s="407"/>
      <c r="I128" s="407"/>
      <c r="J128" s="408"/>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4"/>
      <c r="E129" s="405"/>
      <c r="F129" s="8"/>
      <c r="G129" s="406"/>
      <c r="H129" s="407"/>
      <c r="I129" s="407"/>
      <c r="J129" s="408"/>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2" customHeight="1">
      <c r="A131" s="34"/>
      <c r="B131" s="49" t="str">
        <f ca="1">OFFSET(L!$C$1,MATCH("Declaration"&amp;ADDRESS(ROW(),COLUMN(),4),L!$A:$A,0)-1,SL,,)&amp;P54</f>
        <v>D. Have you implemented due diligence measures for responsible sourcing?(*)</v>
      </c>
      <c r="C131" s="50"/>
      <c r="D131" s="404" t="s">
        <v>25</v>
      </c>
      <c r="E131" s="405"/>
      <c r="F131" s="50"/>
      <c r="G131" s="406"/>
      <c r="H131" s="407"/>
      <c r="I131" s="407"/>
      <c r="J131" s="408"/>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9" t="s">
        <v>32</v>
      </c>
      <c r="E133" s="410"/>
      <c r="F133" s="50"/>
      <c r="G133" s="406"/>
      <c r="H133" s="407"/>
      <c r="I133" s="407"/>
      <c r="J133" s="408"/>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1"/>
      <c r="H134" s="411"/>
      <c r="I134" s="411"/>
      <c r="J134" s="411"/>
      <c r="K134" s="29"/>
      <c r="L134" s="101"/>
      <c r="M134" s="100"/>
      <c r="P134" s="2"/>
      <c r="Q134" s="2"/>
      <c r="R134" s="2"/>
      <c r="S134" s="2"/>
      <c r="T134" s="2"/>
      <c r="U134" s="2"/>
      <c r="V134" s="2"/>
      <c r="W134" s="2"/>
      <c r="X134" s="2"/>
      <c r="Y134" s="2">
        <v>80</v>
      </c>
      <c r="Z134" s="2"/>
      <c r="AA134" s="2"/>
      <c r="AB134" s="2"/>
      <c r="AC134" s="2"/>
      <c r="AD134" s="2"/>
      <c r="AE134" s="2"/>
      <c r="AF134" s="2"/>
      <c r="AG134" s="2"/>
    </row>
    <row r="135" spans="1:33" ht="44.45" customHeight="1">
      <c r="A135" s="34"/>
      <c r="B135" s="49" t="str">
        <f ca="1">OFFSET(L!$C$1,MATCH("Declaration"&amp;ADDRESS(ROW(),COLUMN(),4),L!$A:$A,0)-1,SL,,)&amp;P54</f>
        <v>F. Do you review due diligence information received from your suppliers against your company’s expectations? (*)</v>
      </c>
      <c r="C135" s="50"/>
      <c r="D135" s="404" t="s">
        <v>25</v>
      </c>
      <c r="E135" s="405"/>
      <c r="F135" s="50"/>
      <c r="G135" s="406"/>
      <c r="H135" s="407"/>
      <c r="I135" s="407"/>
      <c r="J135" s="408"/>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2"/>
      <c r="H136" s="412"/>
      <c r="I136" s="412"/>
      <c r="J136" s="41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4" t="s">
        <v>25</v>
      </c>
      <c r="E137" s="405"/>
      <c r="F137" s="50"/>
      <c r="G137" s="406" t="s">
        <v>20070</v>
      </c>
      <c r="H137" s="407"/>
      <c r="I137" s="407"/>
      <c r="J137" s="408"/>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BC893D24-8A83-443B-9025-996D9A8E15D1}"/>
    <hyperlink ref="D21" r:id="rId2" xr:uid="{2970FD65-8B68-4807-AD1D-887CD4B754D5}"/>
    <hyperlink ref="D25" r:id="rId3" xr:uid="{6B2FAAD0-8104-4F09-91E2-DC1B257F322E}"/>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A2" sqref="A2"/>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7" t="str">
        <f ca="1">OFFSET(L!$C$1,MATCH("Smelter List"&amp;ADDRESS(ROW(),COLUMN(),4),L!$A:$A,0)-1,SL,,)</f>
        <v>Link to "RMAP Conformant Smelter List"</v>
      </c>
      <c r="K2" s="468"/>
      <c r="L2" s="468"/>
      <c r="M2" s="468"/>
      <c r="N2" s="468"/>
      <c r="O2" s="468"/>
      <c r="P2" s="162"/>
      <c r="Q2" s="163"/>
      <c r="R2" s="164"/>
      <c r="S2" s="164"/>
      <c r="T2" s="164"/>
      <c r="AB2" s="312"/>
      <c r="AH2" s="130" t="s">
        <v>25</v>
      </c>
    </row>
    <row r="3" spans="1:34" s="16" customFormat="1" ht="249.4" customHeight="1">
      <c r="A3" s="202"/>
      <c r="B3" s="4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9"/>
      <c r="D3" s="469"/>
      <c r="E3" s="469"/>
      <c r="F3" s="165"/>
      <c r="G3" s="470" t="str">
        <f ca="1">OFFSET(L!$C$1,MATCH("General"&amp;"Cpy",L!$A:$A,0)-1,SL,,)</f>
        <v>© 2025 Responsible Minerals Initiative. All rights reserved.</v>
      </c>
      <c r="H3" s="471"/>
      <c r="I3" s="472"/>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30.2" customHeight="1">
      <c r="A5" s="198" t="s">
        <v>102</v>
      </c>
      <c r="B5" s="304" t="str">
        <f ca="1">IF(LEN(A5)=0,"",INDEX('Smelter Look-up'!$A:$A,MATCH($A5,'Smelter Look-up'!$E:$E,0)))</f>
        <v>Cobalt</v>
      </c>
      <c r="C5" s="152" t="str">
        <f ca="1">IF(LEN(A5)=0,"",INDEX('Smelter Look-up'!$C:$C,MATCH($A5,'Smelter Look-up'!$E:$E,0)))</f>
        <v>Umicore Finland Oy</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t="s">
        <v>20071</v>
      </c>
      <c r="N5" s="150"/>
      <c r="O5" s="150"/>
      <c r="P5" s="209"/>
      <c r="Q5" s="151" t="s">
        <v>20073</v>
      </c>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 ca="1">IF(C5="",NA(),MATCH($B5&amp;$C5,'Smelter Look-up'!$J:$J,0))</f>
        <v>152</v>
      </c>
      <c r="X5" s="170">
        <f t="shared" ref="X5:X12" ca="1" si="1">IF(AND(C5="Smelter not listed",OR(LEN(D5)=0,LEN(E5)=0)),1,0)</f>
        <v>0</v>
      </c>
      <c r="AB5" s="314" t="str">
        <f t="shared" ref="AB5:AB12" ca="1" si="2">IF(C5="","",B5)</f>
        <v>Cobalt</v>
      </c>
    </row>
    <row r="6" spans="1:34" s="170" customFormat="1" ht="30.2" customHeight="1">
      <c r="A6" s="198" t="s">
        <v>88</v>
      </c>
      <c r="B6" s="304" t="str">
        <f ca="1">IF(LEN(A6)=0,"",INDEX('Smelter Look-up'!$A:$A,MATCH($A6,'Smelter Look-up'!$E:$E,0)))</f>
        <v>Cobalt</v>
      </c>
      <c r="C6" s="152" t="str">
        <f ca="1">IF(LEN(A6)=0,"",INDEX('Smelter Look-up'!$C:$C,MATCH($A6,'Smelter Look-up'!$E:$E,0)))</f>
        <v>Dynatec Madagascar Company</v>
      </c>
      <c r="D6" s="149"/>
      <c r="E6" s="149" t="str">
        <f ca="1">IF(ISERROR($V6),"",OFFSET('Smelter Look-up'!$D$4,$V6-4,0)&amp;"")</f>
        <v>MADAGASCAR</v>
      </c>
      <c r="F6" s="149" t="str">
        <f ca="1">IF(ISERROR($V6),"",OFFSET('Smelter Look-up'!$E$4,$V6-4,0))</f>
        <v>CID003232</v>
      </c>
      <c r="G6" s="149" t="str">
        <f ca="1">IF(C6=$X$4,"Enter smelter details",IF(ISERROR($V6),"",OFFSET('Smelter Look-up'!$F$4,$V6-4,0)))</f>
        <v>RMI</v>
      </c>
      <c r="H6" s="206">
        <f ca="1">IF(ISERROR($V6),"",OFFSET('Smelter Look-up'!$G$4,$V6-4,0))</f>
        <v>0</v>
      </c>
      <c r="I6" s="207" t="str">
        <f ca="1">IF(ISERROR($V6),"",OFFSET('Smelter Look-up'!$H$4,$V6-4,0))</f>
        <v>Toamasina</v>
      </c>
      <c r="J6" s="207" t="str">
        <f ca="1">IF(ISERROR($V6),"",OFFSET('Smelter Look-up'!$I$4,$V6-4,0))</f>
        <v>Toamasina</v>
      </c>
      <c r="K6" s="150"/>
      <c r="L6" s="150"/>
      <c r="M6" s="150" t="s">
        <v>20071</v>
      </c>
      <c r="N6" s="150"/>
      <c r="O6" s="150"/>
      <c r="P6" s="209"/>
      <c r="Q6" s="151" t="s">
        <v>20073</v>
      </c>
      <c r="R6" s="149" t="str">
        <f ca="1">IF(ISERROR($V6),"",OFFSET('Smelter Look-up'!$C$4,$V6-4,0)&amp;"")</f>
        <v>Dynatec Madagascar Company</v>
      </c>
      <c r="S6" s="155" t="str">
        <f t="shared" ca="1" si="0"/>
        <v>MG</v>
      </c>
      <c r="T6" s="155" t="str">
        <f ca="1">IF(B6="","",IF(ISERROR(MATCH($J6,SorP!$B$1:$B$6226,0)),"",INDIRECT("'SorP'!$A$"&amp;MATCH($S6&amp;$J6,SorP!C:C,0))))</f>
        <v>MG-A</v>
      </c>
      <c r="U6" s="168"/>
      <c r="V6" s="169">
        <f ca="1">IF(C6="",NA(),MATCH($B6&amp;$C6,'Smelter Look-up'!$J:$J,0))</f>
        <v>21</v>
      </c>
      <c r="X6" s="170">
        <f t="shared" ca="1" si="1"/>
        <v>0</v>
      </c>
      <c r="AB6" s="314" t="str">
        <f t="shared" ca="1" si="2"/>
        <v>Cobalt</v>
      </c>
    </row>
    <row r="7" spans="1:34" s="170" customFormat="1" ht="30.2" customHeight="1">
      <c r="A7" s="198" t="s">
        <v>258</v>
      </c>
      <c r="B7" s="304" t="str">
        <f ca="1">IF(LEN(A7)=0,"",INDEX('Smelter Look-up'!$A:$A,MATCH($A7,'Smelter Look-up'!$E:$E,0)))</f>
        <v>Cobalt</v>
      </c>
      <c r="C7" s="152" t="str">
        <f ca="1">IF(LEN(A7)=0,"",INDEX('Smelter Look-up'!$C:$C,MATCH($A7,'Smelter Look-up'!$E:$E,0)))</f>
        <v>Quzhou Huayou Cobalt New Material Co., Ltd.</v>
      </c>
      <c r="D7" s="149"/>
      <c r="E7" s="149" t="str">
        <f ca="1">IF(ISERROR($V7),"",OFFSET('Smelter Look-up'!$D$4,$V7-4,0)&amp;"")</f>
        <v>CHINA</v>
      </c>
      <c r="F7" s="149" t="str">
        <f ca="1">IF(ISERROR($V7),"",OFFSET('Smelter Look-up'!$E$4,$V7-4,0))</f>
        <v>CID003255</v>
      </c>
      <c r="G7" s="149" t="str">
        <f ca="1">IF(C7=$X$4,"Enter smelter details",IF(ISERROR($V7),"",OFFSET('Smelter Look-up'!$F$4,$V7-4,0)))</f>
        <v>RMI</v>
      </c>
      <c r="H7" s="206">
        <f ca="1">IF(ISERROR($V7),"",OFFSET('Smelter Look-up'!$G$4,$V7-4,0))</f>
        <v>0</v>
      </c>
      <c r="I7" s="207" t="str">
        <f ca="1">IF(ISERROR($V7),"",OFFSET('Smelter Look-up'!$H$4,$V7-4,0))</f>
        <v>Quzhou</v>
      </c>
      <c r="J7" s="207" t="str">
        <f ca="1">IF(ISERROR($V7),"",OFFSET('Smelter Look-up'!$I$4,$V7-4,0))</f>
        <v>Zhejiang Sheng</v>
      </c>
      <c r="K7" s="150"/>
      <c r="L7" s="150"/>
      <c r="M7" s="150" t="s">
        <v>20071</v>
      </c>
      <c r="N7" s="150"/>
      <c r="O7" s="150"/>
      <c r="P7" s="209"/>
      <c r="Q7" s="151" t="s">
        <v>20073</v>
      </c>
      <c r="R7" s="149" t="str">
        <f ca="1">IF(ISERROR($V7),"",OFFSET('Smelter Look-up'!$C$4,$V7-4,0)&amp;"")</f>
        <v>Quzhou Huayou Cobalt New Material Co., Ltd.</v>
      </c>
      <c r="S7" s="155" t="str">
        <f t="shared" ca="1" si="0"/>
        <v>CN</v>
      </c>
      <c r="T7" s="155" t="str">
        <f ca="1">IF(B7="","",IF(ISERROR(MATCH($J7,SorP!$B$1:$B$6226,0)),"",INDIRECT("'SorP'!$A$"&amp;MATCH($S7&amp;$J7,SorP!C:C,0))))</f>
        <v>CN-ZJ</v>
      </c>
      <c r="U7" s="168"/>
      <c r="V7" s="169">
        <f ca="1">IF(C7="",NA(),MATCH($B7&amp;$C7,'Smelter Look-up'!$J:$J,0))</f>
        <v>133</v>
      </c>
      <c r="X7" s="170">
        <f t="shared" ca="1" si="1"/>
        <v>0</v>
      </c>
      <c r="AB7" s="314" t="str">
        <f t="shared" ca="1" si="2"/>
        <v>Cobalt</v>
      </c>
    </row>
    <row r="8" spans="1:34" s="170" customFormat="1" ht="30.2" customHeight="1">
      <c r="A8" s="198" t="s">
        <v>239</v>
      </c>
      <c r="B8" s="304" t="str">
        <f ca="1">IF(LEN(A8)=0,"",INDEX('Smelter Look-up'!$A:$A,MATCH($A8,'Smelter Look-up'!$E:$E,0)))</f>
        <v>Cobalt</v>
      </c>
      <c r="C8" s="152" t="str">
        <f ca="1">IF(LEN(A8)=0,"",INDEX('Smelter Look-up'!$C:$C,MATCH($A8,'Smelter Look-up'!$E:$E,0)))</f>
        <v>Niihama Nickel Refinery, Sumitomo Metal Mining</v>
      </c>
      <c r="D8" s="149"/>
      <c r="E8" s="149" t="str">
        <f ca="1">IF(ISERROR($V8),"",OFFSET('Smelter Look-up'!$D$4,$V8-4,0)&amp;"")</f>
        <v>JAPAN</v>
      </c>
      <c r="F8" s="149" t="str">
        <f ca="1">IF(ISERROR($V8),"",OFFSET('Smelter Look-up'!$E$4,$V8-4,0))</f>
        <v>CID003278</v>
      </c>
      <c r="G8" s="149" t="str">
        <f ca="1">IF(C8=$X$4,"Enter smelter details",IF(ISERROR($V8),"",OFFSET('Smelter Look-up'!$F$4,$V8-4,0)))</f>
        <v>RMI</v>
      </c>
      <c r="H8" s="206">
        <f ca="1">IF(ISERROR($V8),"",OFFSET('Smelter Look-up'!$G$4,$V8-4,0))</f>
        <v>0</v>
      </c>
      <c r="I8" s="207" t="str">
        <f ca="1">IF(ISERROR($V8),"",OFFSET('Smelter Look-up'!$H$4,$V8-4,0))</f>
        <v>Niihama</v>
      </c>
      <c r="J8" s="207" t="str">
        <f ca="1">IF(ISERROR($V8),"",OFFSET('Smelter Look-up'!$I$4,$V8-4,0))</f>
        <v>Ehime</v>
      </c>
      <c r="K8" s="150"/>
      <c r="L8" s="150"/>
      <c r="M8" s="150" t="s">
        <v>20071</v>
      </c>
      <c r="N8" s="150"/>
      <c r="O8" s="150"/>
      <c r="P8" s="209"/>
      <c r="Q8" s="151" t="s">
        <v>20073</v>
      </c>
      <c r="R8" s="149" t="str">
        <f ca="1">IF(ISERROR($V8),"",OFFSET('Smelter Look-up'!$C$4,$V8-4,0)&amp;"")</f>
        <v>Niihama Nickel Refinery, Sumitomo Metal Mining</v>
      </c>
      <c r="S8" s="155" t="str">
        <f t="shared" ca="1" si="0"/>
        <v>JP</v>
      </c>
      <c r="T8" s="155" t="str">
        <f ca="1">IF(B8="","",IF(ISERROR(MATCH($J8,SorP!$B$1:$B$6226,0)),"",INDIRECT("'SorP'!$A$"&amp;MATCH($S8&amp;$J8,SorP!C:C,0))))</f>
        <v>JP-38</v>
      </c>
      <c r="U8" s="168"/>
      <c r="V8" s="169">
        <f ca="1">IF(C8="",NA(),MATCH($B8&amp;$C8,'Smelter Look-up'!$J:$J,0))</f>
        <v>122</v>
      </c>
      <c r="X8" s="170">
        <f t="shared" ca="1" si="1"/>
        <v>0</v>
      </c>
      <c r="AB8" s="314" t="str">
        <f t="shared" ca="1" si="2"/>
        <v>Cobalt</v>
      </c>
    </row>
    <row r="9" spans="1:34" s="170" customFormat="1" ht="110.1" customHeight="1">
      <c r="A9" s="198" t="s">
        <v>117</v>
      </c>
      <c r="B9" s="304" t="str">
        <f ca="1">IF(LEN(A9)=0,"",INDEX('Smelter Look-up'!$A:$A,MATCH($A9,'Smelter Look-up'!$E:$E,0)))</f>
        <v>Cobalt</v>
      </c>
      <c r="C9" s="152" t="str">
        <f ca="1">IF(LEN(A9)=0,"",INDEX('Smelter Look-up'!$C:$C,MATCH($A9,'Smelter Look-up'!$E:$E,0)))</f>
        <v>Glencore Nikkelverk Refinery</v>
      </c>
      <c r="D9" s="149"/>
      <c r="E9" s="149" t="str">
        <f ca="1">IF(ISERROR($V9),"",OFFSET('Smelter Look-up'!$D$4,$V9-4,0)&amp;"")</f>
        <v>NORWAY</v>
      </c>
      <c r="F9" s="149" t="str">
        <f ca="1">IF(ISERROR($V9),"",OFFSET('Smelter Look-up'!$E$4,$V9-4,0))</f>
        <v>CID003403</v>
      </c>
      <c r="G9" s="149" t="s">
        <v>20086</v>
      </c>
      <c r="H9" s="206">
        <f ca="1">IF(ISERROR($V9),"",OFFSET('Smelter Look-up'!$G$4,$V9-4,0))</f>
        <v>0</v>
      </c>
      <c r="I9" s="207" t="str">
        <f ca="1">IF(ISERROR($V9),"",OFFSET('Smelter Look-up'!$H$4,$V9-4,0))</f>
        <v>Kristiansand</v>
      </c>
      <c r="J9" s="207" t="str">
        <f ca="1">IF(ISERROR($V9),"",OFFSET('Smelter Look-up'!$I$4,$V9-4,0))</f>
        <v>Agder</v>
      </c>
      <c r="K9" s="150"/>
      <c r="L9" s="150"/>
      <c r="M9" s="150" t="s">
        <v>20072</v>
      </c>
      <c r="N9" s="150"/>
      <c r="O9" s="150"/>
      <c r="P9" s="209"/>
      <c r="Q9" s="151" t="s">
        <v>20074</v>
      </c>
      <c r="R9" s="149" t="str">
        <f ca="1">IF(ISERROR($V9),"",OFFSET('Smelter Look-up'!$C$4,$V9-4,0)&amp;"")</f>
        <v>Glencore Nikkelverk Refinery</v>
      </c>
      <c r="S9" s="155" t="str">
        <f t="shared" ca="1" si="0"/>
        <v>NO</v>
      </c>
      <c r="T9" s="155" t="str">
        <f ca="1">IF(B9="","",IF(ISERROR(MATCH($J9,SorP!$B$1:$B$6226,0)),"",INDIRECT("'SorP'!$A$"&amp;MATCH($S9&amp;$J9,SorP!C:C,0))))</f>
        <v>NO-42</v>
      </c>
      <c r="U9" s="168"/>
      <c r="V9" s="169">
        <f ca="1">IF(C9="",NA(),MATCH($B9&amp;$C9,'Smelter Look-up'!$J:$J,0))</f>
        <v>38</v>
      </c>
      <c r="X9" s="170">
        <f t="shared" ca="1" si="1"/>
        <v>0</v>
      </c>
      <c r="AB9" s="314" t="str">
        <f t="shared" ca="1" si="2"/>
        <v>Cobalt</v>
      </c>
    </row>
    <row r="10" spans="1:34" s="170" customFormat="1" ht="30.2" customHeight="1">
      <c r="A10" s="198" t="s">
        <v>212</v>
      </c>
      <c r="B10" s="304" t="str">
        <f ca="1">IF(LEN(A10)=0,"",INDEX('Smelter Look-up'!$A:$A,MATCH($A10,'Smelter Look-up'!$E:$E,0)))</f>
        <v>Cobalt</v>
      </c>
      <c r="C10" s="152" t="str">
        <f ca="1">IF(LEN(A10)=0,"",INDEX('Smelter Look-up'!$C:$C,MATCH($A10,'Smelter Look-up'!$E:$E,0)))</f>
        <v>Mechema Taiwan Plant 2</v>
      </c>
      <c r="D10" s="149"/>
      <c r="E10" s="149" t="str">
        <f ca="1">IF(ISERROR($V10),"",OFFSET('Smelter Look-up'!$D$4,$V10-4,0)&amp;"")</f>
        <v>TAIWAN, PROVINCE OF CHINA</v>
      </c>
      <c r="F10" s="149" t="str">
        <f ca="1">IF(ISERROR($V10),"",OFFSET('Smelter Look-up'!$E$4,$V10-4,0))</f>
        <v>CID003534</v>
      </c>
      <c r="G10" s="149" t="str">
        <f ca="1">IF(C10=$X$4,"Enter smelter details",IF(ISERROR($V10),"",OFFSET('Smelter Look-up'!$F$4,$V10-4,0)))</f>
        <v>RMI</v>
      </c>
      <c r="H10" s="206">
        <f ca="1">IF(ISERROR($V10),"",OFFSET('Smelter Look-up'!$G$4,$V10-4,0))</f>
        <v>0</v>
      </c>
      <c r="I10" s="207" t="str">
        <f ca="1">IF(ISERROR($V10),"",OFFSET('Smelter Look-up'!$H$4,$V10-4,0))</f>
        <v>Taoyuan</v>
      </c>
      <c r="J10" s="207" t="str">
        <f ca="1">IF(ISERROR($V10),"",OFFSET('Smelter Look-up'!$I$4,$V10-4,0))</f>
        <v>Taoyuan</v>
      </c>
      <c r="K10" s="150"/>
      <c r="L10" s="150"/>
      <c r="M10" s="150" t="s">
        <v>20071</v>
      </c>
      <c r="N10" s="150"/>
      <c r="O10" s="150"/>
      <c r="P10" s="209"/>
      <c r="Q10" s="151" t="s">
        <v>20073</v>
      </c>
      <c r="R10" s="149" t="str">
        <f ca="1">IF(ISERROR($V10),"",OFFSET('Smelter Look-up'!$C$4,$V10-4,0)&amp;"")</f>
        <v>Mechema Taiwan Plant 2</v>
      </c>
      <c r="S10" s="155" t="str">
        <f t="shared" ca="1" si="0"/>
        <v>TW</v>
      </c>
      <c r="T10" s="155" t="str">
        <f ca="1">IF(B10="","",IF(ISERROR(MATCH($J10,SorP!$B$1:$B$6226,0)),"",INDIRECT("'SorP'!$A$"&amp;MATCH($S10&amp;$J10,SorP!C:C,0))))</f>
        <v>TW-TAO</v>
      </c>
      <c r="U10" s="168"/>
      <c r="V10" s="169">
        <f ca="1">IF(C10="",NA(),MATCH($B10&amp;$C10,'Smelter Look-up'!$J:$J,0))</f>
        <v>100</v>
      </c>
      <c r="X10" s="170">
        <f t="shared" ca="1" si="1"/>
        <v>0</v>
      </c>
      <c r="AB10" s="314" t="str">
        <f t="shared" ca="1" si="2"/>
        <v>Cobalt</v>
      </c>
    </row>
    <row r="11" spans="1:34" s="170" customFormat="1" ht="20.100000000000001" customHeight="1">
      <c r="A11" s="199" t="s">
        <v>18774</v>
      </c>
      <c r="B11" s="304" t="str">
        <f ca="1">IF(LEN(A11)=0,"",INDEX('Smelter Look-up'!$A:$A,MATCH($A11,'Smelter Look-up'!$E:$E,0)))</f>
        <v>Copper</v>
      </c>
      <c r="C11" s="152" t="str">
        <f ca="1">IF(LEN(A11)=0,"",INDEX('Smelter Look-up'!$C:$C,MATCH($A11,'Smelter Look-up'!$E:$E,0)))</f>
        <v>Toyo Smelter &amp; Refinery, Sumitomo Metal Mining</v>
      </c>
      <c r="D11" s="149"/>
      <c r="E11" s="149" t="str">
        <f ca="1">IF(ISERROR($V11),"",OFFSET('Smelter Look-up'!$D$4,$V11-4,0)&amp;"")</f>
        <v>JAPAN</v>
      </c>
      <c r="F11" s="149" t="str">
        <f ca="1">IF(ISERROR($V11),"",OFFSET('Smelter Look-up'!$E$4,$V11-4,0))</f>
        <v>CID003878</v>
      </c>
      <c r="G11" s="149" t="str">
        <f ca="1">IF(C11=$X$4,"Enter smelter details",IF(ISERROR($V11),"",OFFSET('Smelter Look-up'!$F$4,$V11-4,0)))</f>
        <v>RMI</v>
      </c>
      <c r="H11" s="206">
        <f ca="1">IF(ISERROR($V11),"",OFFSET('Smelter Look-up'!$G$4,$V11-4,0))</f>
        <v>0</v>
      </c>
      <c r="I11" s="207" t="str">
        <f ca="1">IF(ISERROR($V11),"",OFFSET('Smelter Look-up'!$H$4,$V11-4,0))</f>
        <v>Saijyo</v>
      </c>
      <c r="J11" s="207" t="str">
        <f ca="1">IF(ISERROR($V11),"",OFFSET('Smelter Look-up'!$I$4,$V11-4,0))</f>
        <v>Ehime</v>
      </c>
      <c r="K11" s="150"/>
      <c r="L11" s="150"/>
      <c r="M11" s="150" t="s">
        <v>20087</v>
      </c>
      <c r="N11" s="150"/>
      <c r="O11" s="150"/>
      <c r="P11" s="209"/>
      <c r="Q11" s="151" t="s">
        <v>20087</v>
      </c>
      <c r="R11" s="149" t="str">
        <f ca="1">IF(ISERROR($V11),"",OFFSET('Smelter Look-up'!$C$4,$V11-4,0)&amp;"")</f>
        <v>Toyo Smelter &amp; Refinery, Sumitomo Metal Mining</v>
      </c>
      <c r="S11" s="155" t="str">
        <f t="shared" ca="1" si="0"/>
        <v>JP</v>
      </c>
      <c r="T11" s="155" t="str">
        <f ca="1">IF(B11="","",IF(ISERROR(MATCH($J11,SorP!$B$1:$B$6226,0)),"",INDIRECT("'SorP'!$A$"&amp;MATCH($S11&amp;$J11,SorP!C:C,0))))</f>
        <v>JP-38</v>
      </c>
      <c r="U11" s="168"/>
      <c r="V11" s="169">
        <f ca="1">IF(C11="",NA(),MATCH($B11&amp;$C11,'Smelter Look-up'!$J:$J,0))</f>
        <v>269</v>
      </c>
      <c r="X11" s="170">
        <f t="shared" ca="1" si="1"/>
        <v>0</v>
      </c>
      <c r="AB11" s="314" t="str">
        <f t="shared" ca="1" si="2"/>
        <v>Copper</v>
      </c>
    </row>
    <row r="12" spans="1:34" s="170" customFormat="1" ht="20.100000000000001" customHeight="1">
      <c r="A12" s="198" t="s">
        <v>18703</v>
      </c>
      <c r="B12" s="304" t="str">
        <f ca="1">IF(LEN(A12)=0,"",INDEX('Smelter Look-up'!$A:$A,MATCH($A12,'Smelter Look-up'!$E:$E,0)))</f>
        <v>Copper</v>
      </c>
      <c r="C12" s="152" t="str">
        <f ca="1">IF(LEN(A12)=0,"",INDEX('Smelter Look-up'!$C:$C,MATCH($A12,'Smelter Look-up'!$E:$E,0)))</f>
        <v>JX Nippon Mining &amp; Metals Co., Ltd. Hitachi</v>
      </c>
      <c r="D12" s="149"/>
      <c r="E12" s="149" t="str">
        <f ca="1">IF(ISERROR($V12),"",OFFSET('Smelter Look-up'!$D$4,$V12-4,0)&amp;"")</f>
        <v>JAPAN</v>
      </c>
      <c r="F12" s="149" t="str">
        <f ca="1">IF(ISERROR($V12),"",OFFSET('Smelter Look-up'!$E$4,$V12-4,0))</f>
        <v>CID003996</v>
      </c>
      <c r="G12" s="149" t="str">
        <f ca="1">IF(C12=$X$4,"Enter smelter details",IF(ISERROR($V12),"",OFFSET('Smelter Look-up'!$F$4,$V12-4,0)))</f>
        <v>RMI</v>
      </c>
      <c r="H12" s="206">
        <f ca="1">IF(ISERROR($V12),"",OFFSET('Smelter Look-up'!$G$4,$V12-4,0))</f>
        <v>0</v>
      </c>
      <c r="I12" s="207" t="str">
        <f ca="1">IF(ISERROR($V12),"",OFFSET('Smelter Look-up'!$H$4,$V12-4,0))</f>
        <v>Hitachi-shi</v>
      </c>
      <c r="J12" s="207" t="str">
        <f ca="1">IF(ISERROR($V12),"",OFFSET('Smelter Look-up'!$I$4,$V12-4,0))</f>
        <v>Ibaraki</v>
      </c>
      <c r="K12" s="150"/>
      <c r="L12" s="150"/>
      <c r="M12" s="150" t="s">
        <v>20087</v>
      </c>
      <c r="N12" s="150"/>
      <c r="O12" s="150"/>
      <c r="P12" s="209"/>
      <c r="Q12" s="151" t="s">
        <v>20087</v>
      </c>
      <c r="R12" s="149" t="str">
        <f ca="1">IF(ISERROR($V12),"",OFFSET('Smelter Look-up'!$C$4,$V12-4,0)&amp;"")</f>
        <v>JX Nippon Mining &amp; Metals Co., Ltd. Hitachi</v>
      </c>
      <c r="S12" s="155" t="str">
        <f t="shared" ca="1" si="0"/>
        <v>JP</v>
      </c>
      <c r="T12" s="155" t="str">
        <f ca="1">IF(B12="","",IF(ISERROR(MATCH($J12,SorP!$B$1:$B$6226,0)),"",INDIRECT("'SorP'!$A$"&amp;MATCH($S12&amp;$J12,SorP!C:C,0))))</f>
        <v>JP-08</v>
      </c>
      <c r="U12" s="168"/>
      <c r="V12" s="169">
        <f ca="1">IF(C12="",NA(),MATCH($B12&amp;$C12,'Smelter Look-up'!$J:$J,0))</f>
        <v>211</v>
      </c>
      <c r="X12" s="170">
        <f t="shared" ca="1" si="1"/>
        <v>0</v>
      </c>
      <c r="AB12" s="314" t="str">
        <f t="shared" ca="1" si="2"/>
        <v>Copper</v>
      </c>
    </row>
    <row r="13" spans="1:34" s="170" customFormat="1" ht="45" customHeight="1">
      <c r="A13" s="198" t="s">
        <v>20075</v>
      </c>
      <c r="B13" s="304" t="s">
        <v>18641</v>
      </c>
      <c r="C13" s="152" t="s">
        <v>20084</v>
      </c>
      <c r="D13" s="149"/>
      <c r="E13" s="149" t="s">
        <v>133</v>
      </c>
      <c r="F13" s="149" t="s">
        <v>20075</v>
      </c>
      <c r="G13" s="149" t="s">
        <v>20085</v>
      </c>
      <c r="H13" s="206" t="str">
        <f ca="1">IF(ISERROR($V13),"",OFFSET('Smelter Look-up'!$G$4,$V13-4,0))</f>
        <v/>
      </c>
      <c r="I13" s="207" t="s">
        <v>20082</v>
      </c>
      <c r="J13" s="207" t="s">
        <v>20083</v>
      </c>
      <c r="K13" s="150"/>
      <c r="L13" s="150"/>
      <c r="M13" s="150" t="s">
        <v>20072</v>
      </c>
      <c r="N13" s="150"/>
      <c r="O13" s="150"/>
      <c r="P13" s="209"/>
      <c r="Q13" s="151" t="s">
        <v>20078</v>
      </c>
      <c r="R13" s="149" t="str">
        <f ca="1">IF(ISERROR($V13),"",OFFSET('Smelter Look-up'!$C$4,$V13-4,0)&amp;"")</f>
        <v/>
      </c>
      <c r="S13" s="155" t="str">
        <f t="shared" ref="S13:S63" ca="1" si="3">IF(B13="","",IF(ISERROR(MATCH($E13,CL,0)),"Unknown",INDIRECT("'C'!$A$"&amp;MATCH($E13,CL,0)+1)))</f>
        <v>JP</v>
      </c>
      <c r="T13" s="155" t="str">
        <f ca="1">IF(B13="","",IF(ISERROR(MATCH($J13,SorP!$B$1:$B$6226,0)),"",INDIRECT("'SorP'!$A$"&amp;MATCH($S13&amp;$J13,SorP!C:C,0))))</f>
        <v>JP-37</v>
      </c>
      <c r="U13" s="168"/>
      <c r="V13" s="169" t="e">
        <f>IF(C13="",NA(),MATCH($B13&amp;$C13,'Smelter Look-up'!$J:$J,0))</f>
        <v>#N/A</v>
      </c>
      <c r="X13" s="170">
        <f t="shared" ref="X13:X62" si="4">IF(AND(C13="Smelter not listed",OR(LEN(D13)=0,LEN(E13)=0)),1,0)</f>
        <v>0</v>
      </c>
      <c r="AB13" s="314" t="str">
        <f t="shared" ref="AB13:AB69" si="5">IF(C13="","",B13)</f>
        <v>Copper</v>
      </c>
    </row>
    <row r="14" spans="1:34" s="170" customFormat="1" ht="45" customHeight="1">
      <c r="A14" s="199" t="s">
        <v>20076</v>
      </c>
      <c r="B14" s="304" t="s">
        <v>18641</v>
      </c>
      <c r="C14" s="152" t="s">
        <v>20077</v>
      </c>
      <c r="D14" s="149"/>
      <c r="E14" s="149" t="s">
        <v>133</v>
      </c>
      <c r="F14" s="149" t="s">
        <v>20076</v>
      </c>
      <c r="G14" s="149" t="s">
        <v>20085</v>
      </c>
      <c r="H14" s="206" t="str">
        <f ca="1">IF(ISERROR($V14),"",OFFSET('Smelter Look-up'!$G$4,$V14-4,0))</f>
        <v/>
      </c>
      <c r="I14" s="207" t="s">
        <v>20079</v>
      </c>
      <c r="J14" s="207" t="s">
        <v>20080</v>
      </c>
      <c r="K14" s="150" t="s">
        <v>20081</v>
      </c>
      <c r="L14" s="150"/>
      <c r="M14" s="150" t="s">
        <v>20072</v>
      </c>
      <c r="N14" s="150"/>
      <c r="O14" s="150"/>
      <c r="P14" s="209"/>
      <c r="Q14" s="151" t="s">
        <v>20078</v>
      </c>
      <c r="R14" s="149" t="str">
        <f ca="1">IF(ISERROR($V14),"",OFFSET('Smelter Look-up'!$C$4,$V14-4,0)&amp;"")</f>
        <v/>
      </c>
      <c r="S14" s="155" t="str">
        <f t="shared" ca="1" si="3"/>
        <v>JP</v>
      </c>
      <c r="T14" s="155" t="str">
        <f ca="1">IF(B14="","",IF(ISERROR(MATCH($J14,SorP!$B$1:$B$6226,0)),"",INDIRECT("'SorP'!$A$"&amp;MATCH($S14&amp;$J14,SorP!C:C,0))))</f>
        <v/>
      </c>
      <c r="U14" s="168"/>
      <c r="V14" s="169" t="e">
        <f>IF(C14="",NA(),MATCH($B14&amp;$C14,'Smelter Look-up'!$J:$J,0))</f>
        <v>#N/A</v>
      </c>
      <c r="X14" s="170">
        <f t="shared" si="4"/>
        <v>0</v>
      </c>
      <c r="AB14" s="314" t="str">
        <f t="shared" si="5"/>
        <v>Copper</v>
      </c>
    </row>
    <row r="15" spans="1:34" s="170" customFormat="1" ht="20.100000000000001" customHeight="1">
      <c r="A15" s="199" t="s">
        <v>18725</v>
      </c>
      <c r="B15" s="304" t="str">
        <f ca="1">IF(LEN(A15)=0,"",INDEX('Smelter Look-up'!$A:$A,MATCH($A15,'Smelter Look-up'!$E:$E,0)))</f>
        <v>Copper</v>
      </c>
      <c r="C15" s="152" t="str">
        <f ca="1">IF(LEN(A15)=0,"",INDEX('Smelter Look-up'!$C:$C,MATCH($A15,'Smelter Look-up'!$E:$E,0)))</f>
        <v>LS MnM Inc.</v>
      </c>
      <c r="D15" s="149"/>
      <c r="E15" s="149" t="str">
        <f ca="1">IF(ISERROR($V15),"",OFFSET('Smelter Look-up'!$D$4,$V15-4,0)&amp;"")</f>
        <v>KOREA, REPUBLIC OF</v>
      </c>
      <c r="F15" s="149" t="str">
        <f ca="1">IF(ISERROR($V15),"",OFFSET('Smelter Look-up'!$E$4,$V15-4,0))</f>
        <v>CID004729</v>
      </c>
      <c r="G15" s="149" t="str">
        <f ca="1">IF(C15=$X$4,"Enter smelter details",IF(ISERROR($V15),"",OFFSET('Smelter Look-up'!$F$4,$V15-4,0)))</f>
        <v>RMI</v>
      </c>
      <c r="H15" s="206">
        <f ca="1">IF(ISERROR($V15),"",OFFSET('Smelter Look-up'!$G$4,$V15-4,0))</f>
        <v>0</v>
      </c>
      <c r="I15" s="207" t="str">
        <f ca="1">IF(ISERROR($V15),"",OFFSET('Smelter Look-up'!$H$4,$V15-4,0))</f>
        <v>Onsan-eup</v>
      </c>
      <c r="J15" s="207" t="str">
        <f ca="1">IF(ISERROR($V15),"",OFFSET('Smelter Look-up'!$I$4,$V15-4,0))</f>
        <v>Ulsan-gwangyeoksi</v>
      </c>
      <c r="K15" s="150"/>
      <c r="L15" s="150"/>
      <c r="M15" s="150" t="s">
        <v>20087</v>
      </c>
      <c r="N15" s="150"/>
      <c r="O15" s="150"/>
      <c r="P15" s="209"/>
      <c r="Q15" s="151" t="s">
        <v>20087</v>
      </c>
      <c r="R15" s="149" t="str">
        <f ca="1">IF(ISERROR($V15),"",OFFSET('Smelter Look-up'!$C$4,$V15-4,0)&amp;"")</f>
        <v>LS MnM Inc.</v>
      </c>
      <c r="S15" s="155" t="str">
        <f t="shared" ca="1" si="3"/>
        <v>KR</v>
      </c>
      <c r="T15" s="155" t="str">
        <f ca="1">IF(B15="","",IF(ISERROR(MATCH($J15,SorP!$B$1:$B$6226,0)),"",INDIRECT("'SorP'!$A$"&amp;MATCH($S15&amp;$J15,SorP!C:C,0))))</f>
        <v>KR-31</v>
      </c>
      <c r="U15" s="168"/>
      <c r="V15" s="169">
        <f ca="1">IF(C15="",NA(),MATCH($B15&amp;$C15,'Smelter Look-up'!$J:$J,0))</f>
        <v>228</v>
      </c>
      <c r="X15" s="170">
        <f t="shared" ca="1" si="4"/>
        <v>0</v>
      </c>
      <c r="AB15" s="314" t="str">
        <f t="shared" ca="1" si="5"/>
        <v>Copper</v>
      </c>
    </row>
    <row r="16" spans="1:34" s="170" customFormat="1" ht="110.1" customHeight="1">
      <c r="A16" s="198" t="s">
        <v>117</v>
      </c>
      <c r="B16" s="304" t="s">
        <v>18642</v>
      </c>
      <c r="C16" s="152" t="str">
        <f ca="1">IF(LEN(A16)=0,"",INDEX('Smelter Look-up'!$C:$C,MATCH($A16,'Smelter Look-up'!$E:$E,0)))</f>
        <v>Glencore Nikkelverk Refinery</v>
      </c>
      <c r="D16" s="149"/>
      <c r="E16" s="149" t="s">
        <v>116</v>
      </c>
      <c r="F16" s="149" t="s">
        <v>117</v>
      </c>
      <c r="G16" s="149" t="s">
        <v>20086</v>
      </c>
      <c r="H16" s="206" t="str">
        <f ca="1">IF(ISERROR($V16),"",OFFSET('Smelter Look-up'!$G$4,$V16-4,0))</f>
        <v/>
      </c>
      <c r="I16" s="207" t="s">
        <v>118</v>
      </c>
      <c r="J16" s="207" t="s">
        <v>16354</v>
      </c>
      <c r="K16" s="150"/>
      <c r="L16" s="150"/>
      <c r="M16" s="150" t="s">
        <v>20072</v>
      </c>
      <c r="N16" s="150"/>
      <c r="O16" s="150"/>
      <c r="P16" s="209"/>
      <c r="Q16" s="151" t="s">
        <v>20074</v>
      </c>
      <c r="R16" s="149" t="str">
        <f ca="1">IF(ISERROR($V16),"",OFFSET('Smelter Look-up'!$C$4,$V16-4,0)&amp;"")</f>
        <v/>
      </c>
      <c r="S16" s="155" t="str">
        <f t="shared" ca="1" si="3"/>
        <v>NO</v>
      </c>
      <c r="T16" s="155" t="str">
        <f ca="1">IF(B16="","",IF(ISERROR(MATCH($J16,SorP!$B$1:$B$6226,0)),"",INDIRECT("'SorP'!$A$"&amp;MATCH($S16&amp;$J16,SorP!C:C,0))))</f>
        <v>NO-42</v>
      </c>
      <c r="U16" s="168"/>
      <c r="V16" s="169" t="e">
        <f ca="1">IF(C16="",NA(),MATCH($B16&amp;$C16,'Smelter Look-up'!$J:$J,0))</f>
        <v>#N/A</v>
      </c>
      <c r="X16" s="170">
        <f t="shared" ca="1" si="4"/>
        <v>0</v>
      </c>
      <c r="AB16" s="314" t="str">
        <f t="shared" ca="1" si="5"/>
        <v>Nickel</v>
      </c>
    </row>
    <row r="17" spans="1:28" s="170" customFormat="1" ht="20.25">
      <c r="A17" s="387"/>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80" zoomScaleNormal="8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2" customHeight="1">
      <c r="A1" s="473" t="str">
        <f ca="1">OFFSET(L!$C$1,MATCH("Checker"&amp;ADDRESS(ROW(),COLUMN(),4),L!$A:$A,0)-1,SL,,)</f>
        <v>To ensure all required fields have been populated before submitting to your customers review form for any line items highlighted in red</v>
      </c>
      <c r="B1" s="473"/>
      <c r="C1" s="473"/>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RAMXEED LIMITED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39">
      <c r="A9" s="135" t="str">
        <f ca="1">Declaration!B19</f>
        <v>Contact Name (*):</v>
      </c>
      <c r="B9" s="356" t="str">
        <f>Declaration!D19</f>
        <v>Hideki Yamada</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N/A@com (Refer URL for our distributors contact:　https://www.ramxeed.com/company/office/ )</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https://www.ramxeed.com/contact/</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Tatsuhiro Watanabe</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N/A@com (Refer URL for our distributors contact:　https://www.ramxeed.com/company/office/ )</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39">
      <c r="A15" s="80" t="str">
        <f ca="1">Declaration!B26</f>
        <v>Effective Date (*):</v>
      </c>
      <c r="B15" s="81">
        <f>Declaration!D26</f>
        <v>45810</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Unknown</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50% or less</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50% or less</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https://www.ramxeed.com/quality-and-environment-initiatives/environment-compliance/</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 when more processors are validated</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 when more processors are validated</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80" zoomScaleNormal="80" workbookViewId="0">
      <selection activeCell="A2" sqref="A2"/>
    </sheetView>
  </sheetViews>
  <sheetFormatPr defaultColWidth="8.75" defaultRowHeight="12.75"/>
  <cols>
    <col min="1" max="1" width="17.25" style="346" customWidth="1"/>
    <col min="2" max="2" width="34.75" style="346" customWidth="1"/>
    <col min="3" max="3" width="23.25" style="346" customWidth="1"/>
    <col min="4" max="5" width="15.5" style="346" customWidth="1"/>
    <col min="6" max="6" width="28.5" style="346" customWidth="1"/>
    <col min="7" max="7" width="27.25" style="346" customWidth="1"/>
    <col min="8" max="8" width="20.75" style="346" customWidth="1"/>
    <col min="9" max="9" width="30.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4" t="str">
        <f ca="1">OFFSET(L!$C$1,MATCH("Mine List"&amp;ADDRESS(ROW(),COLUMN(),4),L!$A:$A,0)-1,SL,,)</f>
        <v>TO BEGIN:</v>
      </c>
      <c r="C2" s="474" t="s">
        <v>19144</v>
      </c>
      <c r="D2" s="474" t="s">
        <v>19144</v>
      </c>
      <c r="E2" s="326"/>
      <c r="F2" s="326"/>
      <c r="G2" s="327"/>
      <c r="H2" s="475"/>
      <c r="I2" s="476"/>
      <c r="J2" s="476"/>
      <c r="K2" s="476"/>
      <c r="L2" s="476"/>
      <c r="M2" s="476"/>
      <c r="N2" s="328"/>
      <c r="O2" s="328"/>
    </row>
    <row r="3" spans="1:19" s="324" customFormat="1" ht="94.15" customHeight="1" thickBot="1">
      <c r="A3" s="360"/>
      <c r="B3" s="47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7" t="s">
        <v>19144</v>
      </c>
      <c r="D3" s="477" t="s">
        <v>19144</v>
      </c>
      <c r="E3" s="478" t="s">
        <v>19142</v>
      </c>
      <c r="F3" s="478"/>
      <c r="G3" s="479"/>
      <c r="H3" s="329"/>
      <c r="I3" s="330"/>
      <c r="K3" s="331"/>
      <c r="L3" s="331"/>
      <c r="M3" s="332" t="s">
        <v>19342</v>
      </c>
      <c r="N3" s="333"/>
      <c r="O3" s="333"/>
    </row>
    <row r="4" spans="1:19" s="335" customFormat="1" ht="93.2"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80" zoomScaleNormal="80" workbookViewId="0">
      <pane xSplit="2" ySplit="5" topLeftCell="C6" activePane="bottomRight" state="frozen"/>
      <selection pane="topRight" activeCell="B24" sqref="B24:J24"/>
      <selection pane="bottomLeft" activeCell="B24" sqref="B24:J24"/>
      <selection pane="bottomRight" activeCell="B5" sqref="B5"/>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1" t="str">
        <f ca="1">OFFSET(L!$C$1,MATCH("Product List"&amp;ADDRESS(ROW(),COLUMN(),4),L!$A:$A,0)-1,SL,,)</f>
        <v>Completion required only if reporting level "Product (or List of Products)" selected on the 'Declaration' worksheet.</v>
      </c>
      <c r="B1" s="482"/>
      <c r="C1" s="482"/>
      <c r="D1" s="482"/>
      <c r="E1" s="107"/>
    </row>
    <row r="2" spans="1:35">
      <c r="A2" s="19"/>
      <c r="B2" s="109"/>
      <c r="C2" s="109"/>
      <c r="D2"/>
      <c r="E2" s="20"/>
    </row>
    <row r="3" spans="1:35">
      <c r="A3" s="19"/>
      <c r="B3" s="109"/>
      <c r="C3" s="109"/>
      <c r="D3" s="109"/>
      <c r="E3" s="20"/>
    </row>
    <row r="4" spans="1:35" ht="15.75" customHeight="1">
      <c r="A4" s="19"/>
      <c r="B4" s="480" t="s">
        <v>47</v>
      </c>
      <c r="C4" s="480"/>
      <c r="D4" s="480"/>
      <c r="E4" s="20"/>
    </row>
    <row r="5" spans="1:35" ht="30.2"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3" t="str">
        <f ca="1">OFFSET(L!$C$1,MATCH("General"&amp;"Cpy",L!$A:$A,0)-1,SL,,)</f>
        <v>© 2025 Responsible Minerals Initiative. All rights reserved.</v>
      </c>
      <c r="C1001" s="483"/>
      <c r="D1001" s="483"/>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80" zoomScaleNormal="80" workbookViewId="0">
      <pane ySplit="4" topLeftCell="A5" activePane="bottomLeft" state="frozen"/>
      <selection activeCell="B24" sqref="B24:J24"/>
      <selection pane="bottomLeft" activeCell="A4" sqref="A4"/>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60" customFormat="1" ht="103.7"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a54701f6-876b-4337-a24e-543e1bd311e6"/>
    <ds:schemaRef ds:uri="http://purl.org/dc/elements/1.1/"/>
    <ds:schemaRef ds:uri="http://purl.org/dc/terms/"/>
    <ds:schemaRef ds:uri="http://purl.org/dc/dcmitype/"/>
    <ds:schemaRef ds:uri="http://www.w3.org/XML/1998/namespace"/>
    <ds:schemaRef ds:uri="http://schemas.microsoft.com/office/2006/documentManagement/types"/>
    <ds:schemaRef ds:uri="1b346dad-8a15-4ce7-a19a-07d981b0c5e2"/>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Hirayama,Tomohisa/平山　智久</cp:lastModifiedBy>
  <cp:revision/>
  <dcterms:created xsi:type="dcterms:W3CDTF">2010-06-21T21:00:23Z</dcterms:created>
  <dcterms:modified xsi:type="dcterms:W3CDTF">2025-06-12T07:10:17Z</dcterms:modified>
  <cp:category/>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_MarkAsFinal">
    <vt:bool>true</vt:bool>
  </property>
</Properties>
</file>